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2645"/>
  </bookViews>
  <sheets>
    <sheet name="Пример 1" sheetId="4" r:id="rId1"/>
    <sheet name="Пример 2" sheetId="2" r:id="rId2"/>
    <sheet name="Пример 3" sheetId="1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E26"/>
  <c r="E25"/>
  <c r="E24"/>
  <c r="E23"/>
  <c r="E22"/>
  <c r="E21"/>
  <c r="E20"/>
  <c r="E19"/>
  <c r="E18"/>
  <c r="E17"/>
  <c r="E16"/>
  <c r="E15"/>
  <c r="E14"/>
  <c r="E13"/>
  <c r="E27" s="1"/>
  <c r="I61" i="2"/>
  <c r="I60"/>
  <c r="F60"/>
  <c r="E30"/>
  <c r="C30"/>
  <c r="F30" s="1"/>
  <c r="F19"/>
  <c r="D20" s="1"/>
  <c r="F16"/>
  <c r="C115" s="1"/>
  <c r="C118" i="4"/>
  <c r="C109"/>
  <c r="D110" s="1"/>
  <c r="C123" s="1"/>
  <c r="C106"/>
  <c r="C111" s="1"/>
  <c r="D104"/>
  <c r="C87"/>
  <c r="D70"/>
  <c r="D61"/>
  <c r="C61"/>
  <c r="D60"/>
  <c r="C60"/>
  <c r="D59"/>
  <c r="C59"/>
  <c r="D58"/>
  <c r="C58"/>
  <c r="C57"/>
  <c r="C78" s="1"/>
  <c r="D79" s="1"/>
  <c r="F56"/>
  <c r="H56" s="1"/>
  <c r="F53"/>
  <c r="C35"/>
  <c r="D36" s="1"/>
  <c r="D30"/>
  <c r="C21"/>
  <c r="C20"/>
  <c r="C19"/>
  <c r="C18"/>
  <c r="C17"/>
  <c r="F16"/>
  <c r="D17" s="1"/>
  <c r="F13"/>
  <c r="E17" l="1"/>
  <c r="F17"/>
  <c r="C33" i="1"/>
  <c r="C35" s="1"/>
  <c r="D36" s="1"/>
  <c r="C42"/>
  <c r="D34"/>
  <c r="D35" s="1"/>
  <c r="C46"/>
  <c r="E20" i="2"/>
  <c r="C40" s="1"/>
  <c r="D41" s="1"/>
  <c r="C52" s="1"/>
  <c r="G56" i="4"/>
  <c r="D57"/>
  <c r="D111"/>
  <c r="D112" s="1"/>
  <c r="C101" i="2"/>
  <c r="F101" s="1"/>
  <c r="D107" i="4"/>
  <c r="C122" s="1"/>
  <c r="C63" i="2"/>
  <c r="D62" l="1"/>
  <c r="G62" s="1"/>
  <c r="D61"/>
  <c r="D60"/>
  <c r="D100"/>
  <c r="D99"/>
  <c r="F63"/>
  <c r="I63" s="1"/>
  <c r="E57" i="4"/>
  <c r="C75" s="1"/>
  <c r="D76" s="1"/>
  <c r="C91" s="1"/>
  <c r="C32"/>
  <c r="F20" i="2"/>
  <c r="F57" i="4"/>
  <c r="G57" s="1"/>
  <c r="D73" s="1"/>
  <c r="C44"/>
  <c r="D18"/>
  <c r="D21" i="2" l="1"/>
  <c r="E29"/>
  <c r="F29" s="1"/>
  <c r="F31" s="1"/>
  <c r="C37" s="1"/>
  <c r="E99"/>
  <c r="G99"/>
  <c r="H99" s="1"/>
  <c r="H62"/>
  <c r="J62"/>
  <c r="K62" s="1"/>
  <c r="E61"/>
  <c r="G61"/>
  <c r="G60"/>
  <c r="E60"/>
  <c r="E63" s="1"/>
  <c r="C72" i="4"/>
  <c r="D80"/>
  <c r="E18"/>
  <c r="E58" s="1"/>
  <c r="F58" s="1"/>
  <c r="G58" s="1"/>
  <c r="C37"/>
  <c r="D33"/>
  <c r="E100" i="2"/>
  <c r="G100"/>
  <c r="H100" s="1"/>
  <c r="H60" l="1"/>
  <c r="J60"/>
  <c r="K60" s="1"/>
  <c r="K63" s="1"/>
  <c r="D38"/>
  <c r="D42" s="1"/>
  <c r="D43" s="1"/>
  <c r="C51"/>
  <c r="C42"/>
  <c r="C80" i="4"/>
  <c r="D81" s="1"/>
  <c r="C93"/>
  <c r="C48"/>
  <c r="D37"/>
  <c r="D38" s="1"/>
  <c r="H61" i="2"/>
  <c r="J61"/>
  <c r="K61" s="1"/>
  <c r="E21"/>
  <c r="C79" s="1"/>
  <c r="D80" s="1"/>
  <c r="C91" s="1"/>
  <c r="F18" i="4"/>
  <c r="D19" s="1"/>
  <c r="C47" i="2"/>
  <c r="E101"/>
  <c r="H101"/>
  <c r="E19" i="4" l="1"/>
  <c r="E59" s="1"/>
  <c r="F59" s="1"/>
  <c r="G59" s="1"/>
  <c r="F19"/>
  <c r="D20" s="1"/>
  <c r="F21" i="2"/>
  <c r="H63"/>
  <c r="E20" i="4" l="1"/>
  <c r="E60" s="1"/>
  <c r="F60" s="1"/>
  <c r="G60" s="1"/>
  <c r="F20"/>
  <c r="D21" s="1"/>
  <c r="E65" i="2"/>
  <c r="D22"/>
  <c r="E21" i="4" l="1"/>
  <c r="E61" s="1"/>
  <c r="F61" s="1"/>
  <c r="G61" s="1"/>
  <c r="F21"/>
  <c r="H65" i="2"/>
  <c r="H66" s="1"/>
  <c r="H68" s="1"/>
  <c r="K65"/>
  <c r="K66" s="1"/>
  <c r="K68" s="1"/>
  <c r="E66"/>
  <c r="E68" s="1"/>
  <c r="E22"/>
  <c r="F22" s="1"/>
  <c r="D23" l="1"/>
  <c r="E103"/>
  <c r="K69"/>
  <c r="H103" l="1"/>
  <c r="H104" s="1"/>
  <c r="H106" s="1"/>
  <c r="E104"/>
  <c r="E106" s="1"/>
  <c r="H107" s="1"/>
  <c r="C112"/>
  <c r="C76"/>
  <c r="C86"/>
  <c r="F23"/>
  <c r="E23"/>
  <c r="C122" l="1"/>
  <c r="C113"/>
  <c r="C90"/>
  <c r="C81"/>
  <c r="D77"/>
  <c r="D81" s="1"/>
  <c r="C114"/>
  <c r="C116" s="1"/>
  <c r="C125" s="1"/>
  <c r="D126" s="1"/>
  <c r="C137" s="1"/>
  <c r="D123" l="1"/>
  <c r="C136"/>
  <c r="C127"/>
  <c r="D82"/>
  <c r="D127" l="1"/>
  <c r="D128" s="1"/>
  <c r="C132"/>
</calcChain>
</file>

<file path=xl/sharedStrings.xml><?xml version="1.0" encoding="utf-8"?>
<sst xmlns="http://schemas.openxmlformats.org/spreadsheetml/2006/main" count="316" uniqueCount="131">
  <si>
    <t>Просроченная на 1 – 30 дней</t>
  </si>
  <si>
    <t>Просроченная на 31-60 дней</t>
  </si>
  <si>
    <t>Просроченная на 61-90 дней</t>
  </si>
  <si>
    <t>Просроченная на 91-120 дней</t>
  </si>
  <si>
    <t>Просроченная на 121-150 дней</t>
  </si>
  <si>
    <t>Просроченная на 151-180 дней</t>
  </si>
  <si>
    <t>Просроченная на 181-210 дней</t>
  </si>
  <si>
    <t>Просроченная на 211-240 дней</t>
  </si>
  <si>
    <t>Просроченная на 241-270 дней</t>
  </si>
  <si>
    <t>Просроченная на 271-300 дней</t>
  </si>
  <si>
    <t>Просроченная на 301-330 дней</t>
  </si>
  <si>
    <t>Просроченная на 331-360 дней</t>
  </si>
  <si>
    <t>Просроченная более 360 дней</t>
  </si>
  <si>
    <t>Вероятность дефолта (в течение всего срока жизни)</t>
  </si>
  <si>
    <t>Непросроченная</t>
  </si>
  <si>
    <t>Итого</t>
  </si>
  <si>
    <t>Ожидаемые кредитные убытки, руб.</t>
  </si>
  <si>
    <t>Счет</t>
  </si>
  <si>
    <t>Дебет</t>
  </si>
  <si>
    <t>Кредит</t>
  </si>
  <si>
    <t>Итого обороты</t>
  </si>
  <si>
    <t>2. Отражение в учете МСФО</t>
  </si>
  <si>
    <t>Резерв под ожидаемые кредитные убытки</t>
  </si>
  <si>
    <t>Расходы - Начисление резерва под ОКУ</t>
  </si>
  <si>
    <t>Отчет о финансовом положении</t>
  </si>
  <si>
    <t>Дебиторская задолженность</t>
  </si>
  <si>
    <t>Расходы по начислению резерва под ожидаемые кредитные убытки</t>
  </si>
  <si>
    <t>Денежные потоки</t>
  </si>
  <si>
    <t>Проценты</t>
  </si>
  <si>
    <t>Амортизированная стоимость на начало периода</t>
  </si>
  <si>
    <t>Амортизированная стоимость на конец периода</t>
  </si>
  <si>
    <t>A</t>
  </si>
  <si>
    <t>B</t>
  </si>
  <si>
    <t>C=A*B</t>
  </si>
  <si>
    <t>Да</t>
  </si>
  <si>
    <t>Нет</t>
  </si>
  <si>
    <t>Дефолт в течение 12 месяцев?</t>
  </si>
  <si>
    <t>01.01.20X1</t>
  </si>
  <si>
    <t>31.12.20X1</t>
  </si>
  <si>
    <t>31.12.20X2</t>
  </si>
  <si>
    <t>31.12.20X3</t>
  </si>
  <si>
    <t>Доля убытка в случае дефолта (LGD)</t>
  </si>
  <si>
    <t>Кредитные убытки</t>
  </si>
  <si>
    <t>Вероятность дефолта (PD)</t>
  </si>
  <si>
    <t>Ожидаемые кредитные убытки (ECL)</t>
  </si>
  <si>
    <t>3. Отражение в финансовой отчетности по МСФО</t>
  </si>
  <si>
    <t>1. Расчет резерва под ожидаемые кредитные убытки на 31.12.20X1:</t>
  </si>
  <si>
    <t>ОПУ</t>
  </si>
  <si>
    <t>Активы</t>
  </si>
  <si>
    <t>Займы выданные</t>
  </si>
  <si>
    <t>ОПУ:</t>
  </si>
  <si>
    <t>31.12.20X4</t>
  </si>
  <si>
    <t>31.12.20X5</t>
  </si>
  <si>
    <t>Приведенная стоимость</t>
  </si>
  <si>
    <t>Коэффициент дисконтирования@ 7,71%</t>
  </si>
  <si>
    <t>Сценарий 1 - дефолт в 20X3</t>
  </si>
  <si>
    <t>Приведенная стоимость денежных потоков по договору</t>
  </si>
  <si>
    <t>Вероятность дефолта</t>
  </si>
  <si>
    <t>Дата</t>
  </si>
  <si>
    <t>Сценарий 3 - возврат займа в полном объеме</t>
  </si>
  <si>
    <t>1. Отражение ОКУ</t>
  </si>
  <si>
    <t>Процентные доходы</t>
  </si>
  <si>
    <t>2. Процентный доход</t>
  </si>
  <si>
    <t>Сценарий 2 - ничего не будет возмещено</t>
  </si>
  <si>
    <t>Приведенная стоимость денежных потоков по договору (с учетом неполученного платежа) на 31.12.20X3</t>
  </si>
  <si>
    <t>Амортизированная стоимость</t>
  </si>
  <si>
    <t>Процентный доход</t>
  </si>
  <si>
    <t>Приведенная стоимость денежных потоков по договору (+ неполученный платеж)</t>
  </si>
  <si>
    <t>Изначальная ЭПС</t>
  </si>
  <si>
    <t>ЭПС</t>
  </si>
  <si>
    <t>a)</t>
  </si>
  <si>
    <t>Облигации</t>
  </si>
  <si>
    <t>1.Метод эффективной процентной ставки</t>
  </si>
  <si>
    <t>Денежные средства в банке</t>
  </si>
  <si>
    <t>Активы:</t>
  </si>
  <si>
    <t>По справедливой стоимости через прочий совокупный доход (ССПСД)</t>
  </si>
  <si>
    <t>2. Переоценка на 31.12.20X1</t>
  </si>
  <si>
    <t>3. Процентный доход</t>
  </si>
  <si>
    <t>Прочий совокупный доход</t>
  </si>
  <si>
    <t>ПСД</t>
  </si>
  <si>
    <t>Справедливая стоимость на начало периода</t>
  </si>
  <si>
    <t>Справедливая стоимость на конец периода</t>
  </si>
  <si>
    <t>Проценты (из расчета (а))</t>
  </si>
  <si>
    <t>ПСД:</t>
  </si>
  <si>
    <t>По справедливой стоимости через прибыли и убытки (ССОПУ)</t>
  </si>
  <si>
    <t>Прибыли (убытки) по переоценке финансовых активов, оцениваемых по ССОПУ</t>
  </si>
  <si>
    <t>b)</t>
  </si>
  <si>
    <t>c)</t>
  </si>
  <si>
    <t>СТАДИЯ 1</t>
  </si>
  <si>
    <t>СТАДИЯ 2</t>
  </si>
  <si>
    <t>СТАДИЯ 3</t>
  </si>
  <si>
    <t>Метод эффективной процентной ставки</t>
  </si>
  <si>
    <t>1.1. Ожидаемые кредитные убытки на 31.12.20X1</t>
  </si>
  <si>
    <t>1.2. Отражение в учете МСФО в 20X1</t>
  </si>
  <si>
    <t>1.3. Отражение в финансовой отчетности по МСФО за 20X1</t>
  </si>
  <si>
    <t>2.1. Ожидаемые кредитные убытки на 31.12.20X2</t>
  </si>
  <si>
    <t>2.2. Отражение в учете МСФО в 20X2</t>
  </si>
  <si>
    <t>2.3. Отражение в финансовой отчетности по МСФО за 20X2</t>
  </si>
  <si>
    <t>3.1.Ожидаемые кредитные убытки на 31.12.20X3</t>
  </si>
  <si>
    <t>3.2. Процентный доход с амортизированной величины за 20X3</t>
  </si>
  <si>
    <t>3.3. Отражение в учете МСФО в 20X3</t>
  </si>
  <si>
    <t>3.4. Отражение в финансовой отчетности по МСФО за 20X3</t>
  </si>
  <si>
    <t>Прибыль (убыток) от переоценки</t>
  </si>
  <si>
    <t xml:space="preserve"> =&gt; Справедливая стоимость</t>
  </si>
  <si>
    <t xml:space="preserve"> =&gt; Разница между амортизированной стоимостью и справедливой стоимостью</t>
  </si>
  <si>
    <t>1. Первоначальное признание (инвестиции + доп.расходы по сделке)</t>
  </si>
  <si>
    <t>Финансовые расходы</t>
  </si>
  <si>
    <t>1. Первоначальное признание (только сумма инвестиции)</t>
  </si>
  <si>
    <t xml:space="preserve"> =&gt; Изменение справедливой стоимости за период</t>
  </si>
  <si>
    <t xml:space="preserve"> =&gt; Проценты, полученные за период</t>
  </si>
  <si>
    <t xml:space="preserve"> =&gt; Процентные доходы с амортизированной стоимости</t>
  </si>
  <si>
    <t>Сценарий 2 - дефолт в 20X4</t>
  </si>
  <si>
    <t>2. Отражение в учете МСФО компании A в 20X1 году</t>
  </si>
  <si>
    <t>1. Расчет прибылей и убытков от переоценки</t>
  </si>
  <si>
    <t>2. Отражение в учете МСФО компании B в 20X1 году</t>
  </si>
  <si>
    <t>1. Отражение в учете МСФО компании C в 20X1 году</t>
  </si>
  <si>
    <t xml:space="preserve"> =&gt; Амортизированная стоимость</t>
  </si>
  <si>
    <t>Переоценка финансовых активов, оцениваемых по ССПСД</t>
  </si>
  <si>
    <t>Ожидаемые кредитные убытки</t>
  </si>
  <si>
    <t>Дебиторская задолженность, руб.</t>
  </si>
  <si>
    <t xml:space="preserve"> =&gt; Процентный доход, рассчитанный исходя из амортизированной стоимости методом ЭПС</t>
  </si>
  <si>
    <t>Доходы по переоценке финансовых активов, оцениваемых по ССОПУ</t>
  </si>
  <si>
    <t>3. Получение процентов</t>
  </si>
  <si>
    <t>4. Получение процентов</t>
  </si>
  <si>
    <t xml:space="preserve"> =&gt; Процентные доходы с валовой балансовой стоимости</t>
  </si>
  <si>
    <t>Сценарий 1 - будет получено возмещение по итогам процедуры банкротства</t>
  </si>
  <si>
    <t>Отчет о прибыли или убытке и прочем совокупном доходе</t>
  </si>
  <si>
    <t>* Все данные указаны без учета обесценения</t>
  </si>
  <si>
    <t>3. Отражение в финансовой отчетности по МСФО компании A за 20X1 год*</t>
  </si>
  <si>
    <t>3. Отражение в финансовой отчетности по МСФО компании B за 20X1 год*</t>
  </si>
  <si>
    <t>2. Отражение в финансовой отчетности по МСФО компании C за 20X1 год*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</si>
</sst>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_-* #,##0_-;\-* #,##0_-;_-* &quot;-&quot;??_-;_-@_-"/>
    <numFmt numFmtId="166" formatCode="#,##0;\(#,##0\);\‒"/>
    <numFmt numFmtId="167" formatCode="0.000"/>
    <numFmt numFmtId="168" formatCode="#,##0.0;\(#,##0.0\);\‒"/>
    <numFmt numFmtId="169" formatCode="#,##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0"/>
      <color theme="0"/>
      <name val="Calibri (body)"/>
      <charset val="204"/>
    </font>
    <font>
      <sz val="10"/>
      <name val="Calibri (body)"/>
      <charset val="204"/>
    </font>
    <font>
      <sz val="10"/>
      <color theme="1"/>
      <name val="Calibri (body)"/>
      <charset val="204"/>
    </font>
    <font>
      <b/>
      <sz val="10"/>
      <name val="Calibri (body)"/>
      <charset val="204"/>
    </font>
    <font>
      <b/>
      <sz val="10"/>
      <color theme="1"/>
      <name val="Calibri (body)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color rgb="FFC00000"/>
      <name val="Calibri (body)"/>
      <charset val="204"/>
    </font>
    <font>
      <b/>
      <sz val="10"/>
      <color theme="0"/>
      <name val="Calibri (body)"/>
      <charset val="204"/>
    </font>
    <font>
      <sz val="10"/>
      <color rgb="FFC00000"/>
      <name val="Calibri (body)"/>
      <charset val="204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  <font>
      <b/>
      <sz val="11"/>
      <color theme="0"/>
      <name val="Calibri"/>
      <family val="2"/>
      <charset val="204"/>
      <scheme val="minor"/>
    </font>
    <font>
      <b/>
      <sz val="10"/>
      <color rgb="FFC00000"/>
      <name val="Arial"/>
      <family val="2"/>
      <charset val="204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04"/>
    </font>
    <font>
      <b/>
      <sz val="10"/>
      <color rgb="FFC00000"/>
      <name val="Calibri (body)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04"/>
    </font>
    <font>
      <b/>
      <sz val="10"/>
      <color theme="0"/>
      <name val="Arial"/>
      <family val="2"/>
    </font>
    <font>
      <i/>
      <sz val="10"/>
      <name val="Arial"/>
      <family val="2"/>
      <charset val="204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charset val="204"/>
      <scheme val="minor"/>
    </font>
    <font>
      <b/>
      <i/>
      <sz val="11"/>
      <color rgb="FFC00000"/>
      <name val="Calibri"/>
      <family val="2"/>
      <charset val="204"/>
      <scheme val="minor"/>
    </font>
    <font>
      <b/>
      <i/>
      <sz val="10"/>
      <color rgb="FFC00000"/>
      <name val="Arial"/>
      <family val="2"/>
      <charset val="204"/>
    </font>
    <font>
      <sz val="11"/>
      <color rgb="FFC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29">
    <xf numFmtId="0" fontId="0" fillId="0" borderId="0" xfId="0"/>
    <xf numFmtId="0" fontId="0" fillId="0" borderId="0" xfId="0" applyBorder="1"/>
    <xf numFmtId="16" fontId="3" fillId="2" borderId="3" xfId="0" applyNumberFormat="1" applyFont="1" applyFill="1" applyBorder="1" applyAlignment="1">
      <alignment horizontal="center" wrapText="1"/>
    </xf>
    <xf numFmtId="0" fontId="4" fillId="3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165" fontId="5" fillId="3" borderId="0" xfId="1" applyNumberFormat="1" applyFont="1" applyFill="1" applyBorder="1"/>
    <xf numFmtId="10" fontId="4" fillId="3" borderId="0" xfId="2" applyNumberFormat="1" applyFont="1" applyFill="1" applyBorder="1" applyAlignment="1">
      <alignment horizontal="right"/>
    </xf>
    <xf numFmtId="0" fontId="6" fillId="3" borderId="4" xfId="0" applyFont="1" applyFill="1" applyBorder="1"/>
    <xf numFmtId="3" fontId="6" fillId="3" borderId="4" xfId="0" applyNumberFormat="1" applyFont="1" applyFill="1" applyBorder="1" applyAlignment="1">
      <alignment horizontal="right"/>
    </xf>
    <xf numFmtId="10" fontId="6" fillId="3" borderId="4" xfId="2" applyNumberFormat="1" applyFont="1" applyFill="1" applyBorder="1" applyAlignment="1">
      <alignment horizontal="right"/>
    </xf>
    <xf numFmtId="165" fontId="7" fillId="3" borderId="4" xfId="1" applyNumberFormat="1" applyFont="1" applyFill="1" applyBorder="1"/>
    <xf numFmtId="0" fontId="8" fillId="0" borderId="0" xfId="0" applyFont="1"/>
    <xf numFmtId="0" fontId="5" fillId="0" borderId="0" xfId="0" applyFont="1"/>
    <xf numFmtId="0" fontId="10" fillId="0" borderId="0" xfId="3" applyFont="1" applyFill="1" applyBorder="1" applyAlignment="1">
      <alignment horizontal="left"/>
    </xf>
    <xf numFmtId="0" fontId="11" fillId="2" borderId="1" xfId="0" applyFont="1" applyFill="1" applyBorder="1" applyAlignment="1"/>
    <xf numFmtId="0" fontId="11" fillId="2" borderId="1" xfId="0" applyFont="1" applyFill="1" applyBorder="1"/>
    <xf numFmtId="0" fontId="5" fillId="3" borderId="1" xfId="0" applyFont="1" applyFill="1" applyBorder="1" applyAlignment="1">
      <alignment wrapText="1"/>
    </xf>
    <xf numFmtId="165" fontId="5" fillId="3" borderId="1" xfId="0" applyNumberFormat="1" applyFont="1" applyFill="1" applyBorder="1"/>
    <xf numFmtId="0" fontId="5" fillId="3" borderId="1" xfId="0" applyFont="1" applyFill="1" applyBorder="1"/>
    <xf numFmtId="165" fontId="11" fillId="2" borderId="1" xfId="1" applyNumberFormat="1" applyFont="1" applyFill="1" applyBorder="1"/>
    <xf numFmtId="0" fontId="12" fillId="0" borderId="0" xfId="0" applyFont="1"/>
    <xf numFmtId="0" fontId="2" fillId="0" borderId="0" xfId="0" applyFont="1"/>
    <xf numFmtId="166" fontId="0" fillId="3" borderId="0" xfId="1" applyNumberFormat="1" applyFont="1" applyFill="1"/>
    <xf numFmtId="0" fontId="2" fillId="3" borderId="0" xfId="0" applyFont="1" applyFill="1"/>
    <xf numFmtId="0" fontId="0" fillId="3" borderId="0" xfId="0" applyFill="1"/>
    <xf numFmtId="165" fontId="0" fillId="3" borderId="0" xfId="0" applyNumberFormat="1" applyFill="1"/>
    <xf numFmtId="0" fontId="0" fillId="3" borderId="0" xfId="0" applyFill="1" applyAlignment="1">
      <alignment wrapText="1"/>
    </xf>
    <xf numFmtId="0" fontId="0" fillId="0" borderId="5" xfId="0" applyBorder="1"/>
    <xf numFmtId="0" fontId="13" fillId="0" borderId="5" xfId="0" applyFont="1" applyBorder="1" applyAlignment="1">
      <alignment horizontal="center"/>
    </xf>
    <xf numFmtId="9" fontId="13" fillId="0" borderId="5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0" fontId="14" fillId="3" borderId="6" xfId="0" applyFont="1" applyFill="1" applyBorder="1"/>
    <xf numFmtId="3" fontId="14" fillId="3" borderId="6" xfId="0" applyNumberFormat="1" applyFont="1" applyFill="1" applyBorder="1"/>
    <xf numFmtId="0" fontId="18" fillId="0" borderId="0" xfId="0" applyFont="1" applyBorder="1"/>
    <xf numFmtId="0" fontId="19" fillId="0" borderId="5" xfId="0" applyFont="1" applyFill="1" applyBorder="1" applyAlignment="1">
      <alignment horizontal="center"/>
    </xf>
    <xf numFmtId="0" fontId="15" fillId="3" borderId="0" xfId="0" applyFont="1" applyFill="1" applyAlignment="1">
      <alignment horizontal="right"/>
    </xf>
    <xf numFmtId="3" fontId="0" fillId="3" borderId="0" xfId="0" applyNumberFormat="1" applyFill="1"/>
    <xf numFmtId="0" fontId="15" fillId="3" borderId="5" xfId="0" applyFont="1" applyFill="1" applyBorder="1" applyAlignment="1">
      <alignment horizontal="right"/>
    </xf>
    <xf numFmtId="3" fontId="0" fillId="3" borderId="5" xfId="0" applyNumberFormat="1" applyFill="1" applyBorder="1"/>
    <xf numFmtId="0" fontId="20" fillId="2" borderId="2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/>
    </xf>
    <xf numFmtId="10" fontId="0" fillId="3" borderId="0" xfId="0" applyNumberFormat="1" applyFill="1" applyBorder="1"/>
    <xf numFmtId="9" fontId="0" fillId="3" borderId="0" xfId="0" applyNumberFormat="1" applyFill="1" applyBorder="1"/>
    <xf numFmtId="165" fontId="0" fillId="3" borderId="0" xfId="1" applyNumberFormat="1" applyFont="1" applyFill="1"/>
    <xf numFmtId="0" fontId="21" fillId="0" borderId="0" xfId="3" applyFont="1" applyFill="1" applyBorder="1" applyAlignment="1">
      <alignment horizontal="left"/>
    </xf>
    <xf numFmtId="0" fontId="22" fillId="3" borderId="0" xfId="0" applyFont="1" applyFill="1"/>
    <xf numFmtId="0" fontId="17" fillId="2" borderId="0" xfId="0" applyFont="1" applyFill="1"/>
    <xf numFmtId="0" fontId="14" fillId="0" borderId="0" xfId="0" applyFont="1" applyBorder="1"/>
    <xf numFmtId="3" fontId="15" fillId="0" borderId="0" xfId="0" applyNumberFormat="1" applyFont="1" applyBorder="1" applyAlignment="1">
      <alignment horizontal="right"/>
    </xf>
    <xf numFmtId="9" fontId="13" fillId="0" borderId="0" xfId="0" applyNumberFormat="1" applyFont="1" applyBorder="1" applyAlignment="1">
      <alignment horizontal="center"/>
    </xf>
    <xf numFmtId="3" fontId="15" fillId="0" borderId="0" xfId="0" applyNumberFormat="1" applyFont="1"/>
    <xf numFmtId="0" fontId="24" fillId="0" borderId="0" xfId="0" applyFont="1" applyBorder="1"/>
    <xf numFmtId="0" fontId="15" fillId="0" borderId="0" xfId="0" quotePrefix="1" applyFont="1" applyBorder="1"/>
    <xf numFmtId="0" fontId="14" fillId="0" borderId="0" xfId="0" quotePrefix="1" applyFont="1" applyBorder="1"/>
    <xf numFmtId="10" fontId="17" fillId="2" borderId="0" xfId="0" applyNumberFormat="1" applyFont="1" applyFill="1"/>
    <xf numFmtId="9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/>
    <xf numFmtId="167" fontId="15" fillId="3" borderId="1" xfId="0" applyNumberFormat="1" applyFont="1" applyFill="1" applyBorder="1"/>
    <xf numFmtId="10" fontId="23" fillId="3" borderId="1" xfId="0" applyNumberFormat="1" applyFont="1" applyFill="1" applyBorder="1" applyAlignment="1">
      <alignment horizontal="center"/>
    </xf>
    <xf numFmtId="0" fontId="23" fillId="3" borderId="1" xfId="0" applyFont="1" applyFill="1" applyBorder="1"/>
    <xf numFmtId="3" fontId="23" fillId="3" borderId="1" xfId="0" applyNumberFormat="1" applyFont="1" applyFill="1" applyBorder="1"/>
    <xf numFmtId="9" fontId="23" fillId="4" borderId="1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/>
    <xf numFmtId="167" fontId="15" fillId="4" borderId="1" xfId="0" applyNumberFormat="1" applyFont="1" applyFill="1" applyBorder="1"/>
    <xf numFmtId="10" fontId="23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3" fontId="23" fillId="4" borderId="1" xfId="0" applyNumberFormat="1" applyFont="1" applyFill="1" applyBorder="1"/>
    <xf numFmtId="9" fontId="23" fillId="5" borderId="1" xfId="0" applyNumberFormat="1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/>
    <xf numFmtId="167" fontId="15" fillId="5" borderId="1" xfId="0" applyNumberFormat="1" applyFont="1" applyFill="1" applyBorder="1"/>
    <xf numFmtId="10" fontId="23" fillId="5" borderId="1" xfId="0" applyNumberFormat="1" applyFont="1" applyFill="1" applyBorder="1" applyAlignment="1">
      <alignment horizontal="center"/>
    </xf>
    <xf numFmtId="0" fontId="23" fillId="5" borderId="1" xfId="0" applyFont="1" applyFill="1" applyBorder="1"/>
    <xf numFmtId="3" fontId="23" fillId="5" borderId="1" xfId="0" applyNumberFormat="1" applyFont="1" applyFill="1" applyBorder="1"/>
    <xf numFmtId="3" fontId="23" fillId="3" borderId="1" xfId="0" applyNumberFormat="1" applyFont="1" applyFill="1" applyBorder="1" applyAlignment="1">
      <alignment horizontal="right"/>
    </xf>
    <xf numFmtId="3" fontId="23" fillId="0" borderId="0" xfId="0" applyNumberFormat="1" applyFont="1" applyBorder="1"/>
    <xf numFmtId="0" fontId="23" fillId="0" borderId="0" xfId="0" applyFont="1" applyBorder="1"/>
    <xf numFmtId="3" fontId="14" fillId="0" borderId="0" xfId="0" applyNumberFormat="1" applyFont="1" applyBorder="1"/>
    <xf numFmtId="0" fontId="25" fillId="0" borderId="0" xfId="0" applyFont="1" applyBorder="1"/>
    <xf numFmtId="3" fontId="14" fillId="3" borderId="1" xfId="0" applyNumberFormat="1" applyFont="1" applyFill="1" applyBorder="1" applyAlignment="1">
      <alignment horizontal="right"/>
    </xf>
    <xf numFmtId="3" fontId="27" fillId="0" borderId="0" xfId="0" applyNumberFormat="1" applyFont="1" applyBorder="1"/>
    <xf numFmtId="0" fontId="27" fillId="0" borderId="0" xfId="0" applyFont="1" applyBorder="1"/>
    <xf numFmtId="3" fontId="9" fillId="0" borderId="0" xfId="0" applyNumberFormat="1" applyFont="1" applyBorder="1" applyAlignment="1">
      <alignment horizontal="right"/>
    </xf>
    <xf numFmtId="9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9" fontId="27" fillId="0" borderId="0" xfId="2" applyFont="1" applyBorder="1" applyAlignment="1">
      <alignment horizontal="right"/>
    </xf>
    <xf numFmtId="9" fontId="27" fillId="0" borderId="0" xfId="0" applyNumberFormat="1" applyFont="1" applyBorder="1" applyAlignment="1">
      <alignment horizontal="center"/>
    </xf>
    <xf numFmtId="0" fontId="9" fillId="0" borderId="0" xfId="0" applyFont="1"/>
    <xf numFmtId="3" fontId="5" fillId="3" borderId="1" xfId="0" applyNumberFormat="1" applyFont="1" applyFill="1" applyBorder="1"/>
    <xf numFmtId="3" fontId="0" fillId="0" borderId="0" xfId="0" applyNumberFormat="1"/>
    <xf numFmtId="3" fontId="2" fillId="0" borderId="0" xfId="0" applyNumberFormat="1" applyFont="1"/>
    <xf numFmtId="166" fontId="0" fillId="0" borderId="0" xfId="1" applyNumberFormat="1" applyFont="1" applyFill="1"/>
    <xf numFmtId="166" fontId="0" fillId="0" borderId="0" xfId="0" applyNumberFormat="1"/>
    <xf numFmtId="0" fontId="27" fillId="0" borderId="0" xfId="0" applyFont="1" applyBorder="1" applyAlignment="1">
      <alignment wrapText="1"/>
    </xf>
    <xf numFmtId="0" fontId="28" fillId="0" borderId="0" xfId="0" applyFont="1" applyAlignment="1">
      <alignment wrapText="1"/>
    </xf>
    <xf numFmtId="10" fontId="0" fillId="0" borderId="0" xfId="0" applyNumberFormat="1"/>
    <xf numFmtId="0" fontId="28" fillId="0" borderId="4" xfId="0" applyFont="1" applyBorder="1" applyAlignment="1">
      <alignment wrapText="1"/>
    </xf>
    <xf numFmtId="165" fontId="0" fillId="0" borderId="4" xfId="1" applyNumberFormat="1" applyFont="1" applyBorder="1"/>
    <xf numFmtId="0" fontId="0" fillId="0" borderId="2" xfId="0" applyBorder="1"/>
    <xf numFmtId="165" fontId="0" fillId="0" borderId="0" xfId="0" applyNumberFormat="1"/>
    <xf numFmtId="0" fontId="25" fillId="0" borderId="0" xfId="0" applyFont="1" applyBorder="1" applyAlignment="1"/>
    <xf numFmtId="164" fontId="15" fillId="3" borderId="1" xfId="1" applyFont="1" applyFill="1" applyBorder="1"/>
    <xf numFmtId="164" fontId="15" fillId="4" borderId="1" xfId="1" applyFont="1" applyFill="1" applyBorder="1"/>
    <xf numFmtId="164" fontId="23" fillId="4" borderId="1" xfId="1" applyFont="1" applyFill="1" applyBorder="1"/>
    <xf numFmtId="0" fontId="18" fillId="0" borderId="2" xfId="0" applyFont="1" applyBorder="1"/>
    <xf numFmtId="0" fontId="29" fillId="0" borderId="0" xfId="0" applyFont="1"/>
    <xf numFmtId="0" fontId="30" fillId="0" borderId="0" xfId="0" applyFont="1"/>
    <xf numFmtId="3" fontId="26" fillId="2" borderId="0" xfId="0" applyNumberFormat="1" applyFont="1" applyFill="1"/>
    <xf numFmtId="0" fontId="31" fillId="0" borderId="0" xfId="0" applyFont="1" applyBorder="1"/>
    <xf numFmtId="0" fontId="13" fillId="0" borderId="0" xfId="0" applyFont="1" applyBorder="1" applyAlignment="1">
      <alignment horizontal="left"/>
    </xf>
    <xf numFmtId="0" fontId="14" fillId="0" borderId="0" xfId="0" applyFont="1"/>
    <xf numFmtId="0" fontId="29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168" fontId="0" fillId="3" borderId="0" xfId="1" applyNumberFormat="1" applyFont="1" applyFill="1"/>
    <xf numFmtId="168" fontId="0" fillId="3" borderId="5" xfId="1" applyNumberFormat="1" applyFont="1" applyFill="1" applyBorder="1"/>
    <xf numFmtId="169" fontId="0" fillId="3" borderId="0" xfId="0" applyNumberFormat="1" applyFill="1"/>
    <xf numFmtId="0" fontId="7" fillId="3" borderId="7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4">
    <cellStyle name="Normal 2" xfId="3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761992</xdr:colOff>
      <xdr:row>0</xdr:row>
      <xdr:rowOff>85726</xdr:rowOff>
    </xdr:from>
    <xdr:to>
      <xdr:col>7</xdr:col>
      <xdr:colOff>35718</xdr:colOff>
      <xdr:row>8</xdr:row>
      <xdr:rowOff>95250</xdr:rowOff>
    </xdr:to>
    <xdr:sp macro="" textlink="">
      <xdr:nvSpPr>
        <xdr:cNvPr id="2" name="TextovéPole 1"/>
        <xdr:cNvSpPr txBox="1"/>
      </xdr:nvSpPr>
      <xdr:spPr>
        <a:xfrm>
          <a:off x="761992" y="85726"/>
          <a:ext cx="9929820" cy="153352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/>
            <a:t>Пример</a:t>
          </a:r>
          <a:r>
            <a:rPr lang="ru-RU" sz="1100" b="1" baseline="0"/>
            <a:t> </a:t>
          </a:r>
          <a:r>
            <a:rPr lang="en-US" sz="1100" b="1" baseline="0"/>
            <a:t>1</a:t>
          </a:r>
          <a:r>
            <a:rPr lang="ru-RU" sz="1100" b="1"/>
            <a:t>. </a:t>
          </a:r>
          <a:r>
            <a:rPr lang="ru-RU" sz="1100"/>
            <a:t>Каждая из компаний </a:t>
          </a:r>
          <a:r>
            <a:rPr lang="en-US" sz="1100" baseline="0"/>
            <a:t>A</a:t>
          </a:r>
          <a:r>
            <a:rPr lang="ru-RU" sz="1100" baseline="0"/>
            <a:t>, </a:t>
          </a:r>
          <a:r>
            <a:rPr lang="en-US" sz="1100" baseline="0"/>
            <a:t>B </a:t>
          </a:r>
          <a:r>
            <a:rPr lang="ru-RU" sz="1100" baseline="0"/>
            <a:t>и С</a:t>
          </a:r>
          <a:r>
            <a:rPr lang="en-US" sz="1100" baseline="0"/>
            <a:t> </a:t>
          </a:r>
          <a:r>
            <a:rPr lang="ru-RU" sz="1100" baseline="0"/>
            <a:t>приобрела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.01.20X1 </a:t>
          </a:r>
          <a:r>
            <a:rPr lang="ru-RU" sz="1100" baseline="0"/>
            <a:t>за 900 000 руб. 15% облигации номиналом 1 000 000 руб со сроком погашения через 5 лет (</a:t>
          </a:r>
          <a:r>
            <a:rPr lang="ru-R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денежные потоки по облигациям - это только выплата основной суммы долга и процентов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 Дополнительные затраты по сделке составили 50 000 руб. у каждой из компаний.</a:t>
          </a:r>
        </a:p>
        <a:p>
          <a:r>
            <a:rPr lang="ru-RU" sz="1100" baseline="0"/>
            <a:t> </a:t>
          </a:r>
          <a:r>
            <a:rPr lang="en-US" sz="1100" baseline="0"/>
            <a:t>a</a:t>
          </a:r>
          <a:r>
            <a:rPr lang="ru-RU" sz="1100" baseline="0"/>
            <a:t>) У компании </a:t>
          </a:r>
          <a:r>
            <a:rPr lang="en-US" sz="1100" baseline="0"/>
            <a:t>A </a:t>
          </a:r>
          <a:r>
            <a:rPr lang="ru-RU" sz="1100" baseline="0"/>
            <a:t>текущая бизнес- модель - удерживать облигации до погашения</a:t>
          </a:r>
          <a:r>
            <a:rPr lang="en-US" sz="1100" baseline="0"/>
            <a:t>=&gt; </a:t>
          </a:r>
          <a:r>
            <a:rPr lang="ru-RU" sz="1100" baseline="0"/>
            <a:t>Амортизированная стоимость</a:t>
          </a:r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У компании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текущая бизнес- модель - удерживать облигации до погашения или продать, если на рынке появятся более доходные облигации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ССПСД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>
              <a:effectLst/>
            </a:rPr>
            <a:t> c)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 компании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текущая бизнес- модель -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использовать для торговли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ССОПУ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Необходимо отразить первоначальное признание и последующую оценку для каждой из компаний по состоянию на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31.12.20X1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>
            <a:effectLst/>
          </a:endParaRPr>
        </a:p>
        <a:p>
          <a:endParaRPr lang="ru-RU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773902</xdr:colOff>
      <xdr:row>0</xdr:row>
      <xdr:rowOff>85725</xdr:rowOff>
    </xdr:from>
    <xdr:to>
      <xdr:col>7</xdr:col>
      <xdr:colOff>35719</xdr:colOff>
      <xdr:row>13</xdr:row>
      <xdr:rowOff>56029</xdr:rowOff>
    </xdr:to>
    <xdr:sp macro="" textlink="">
      <xdr:nvSpPr>
        <xdr:cNvPr id="2" name="TextovéPole 1"/>
        <xdr:cNvSpPr txBox="1"/>
      </xdr:nvSpPr>
      <xdr:spPr>
        <a:xfrm>
          <a:off x="773902" y="85725"/>
          <a:ext cx="9691692" cy="244680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/>
            <a:t>Пример</a:t>
          </a:r>
          <a:r>
            <a:rPr lang="ru-RU" sz="1100" b="1" baseline="0"/>
            <a:t> 2</a:t>
          </a:r>
          <a:r>
            <a:rPr lang="ru-RU" sz="1100" b="1"/>
            <a:t>.</a:t>
          </a:r>
          <a:r>
            <a:rPr lang="ru-RU" sz="1100"/>
            <a:t> Компания</a:t>
          </a:r>
          <a:r>
            <a:rPr lang="ru-RU" sz="1100" baseline="0"/>
            <a:t> </a:t>
          </a:r>
          <a:r>
            <a:rPr lang="en-US" sz="1100" baseline="0"/>
            <a:t>A </a:t>
          </a:r>
          <a:r>
            <a:rPr lang="ru-RU" sz="1100" baseline="0"/>
            <a:t>выдала 1 января 20</a:t>
          </a:r>
          <a:r>
            <a:rPr lang="en-US" sz="1100" baseline="0"/>
            <a:t>X1 </a:t>
          </a:r>
          <a:r>
            <a:rPr lang="ru-RU" sz="1100" baseline="0"/>
            <a:t>года компании </a:t>
          </a:r>
          <a:r>
            <a:rPr lang="en-US" sz="1100" baseline="0"/>
            <a:t>B </a:t>
          </a:r>
          <a:r>
            <a:rPr lang="ru-RU" sz="1100" baseline="0"/>
            <a:t>заём в размере 1 млн. руб. на 4 года (дата погашения 31 декабря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4).</a:t>
          </a:r>
          <a:r>
            <a:rPr lang="ru-RU" sz="1100" baseline="0"/>
            <a:t> Ежегодные платежи составляют 300 000 руб. и производятся в конце года. Компания </a:t>
          </a:r>
          <a:r>
            <a:rPr lang="en-US" sz="1100" baseline="0"/>
            <a:t>A </a:t>
          </a:r>
          <a:r>
            <a:rPr lang="ru-RU" sz="1100" baseline="0"/>
            <a:t>оценивает вероятность дефолта в течение 12 месяцев в 0,8% по состоянию на 31 декабря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года</a:t>
          </a:r>
          <a:r>
            <a:rPr lang="ru-RU" sz="1100" baseline="0"/>
            <a:t> и в этом случае компания потеряет </a:t>
          </a:r>
          <a:r>
            <a:rPr lang="en-US" sz="1100" baseline="0"/>
            <a:t>8</a:t>
          </a:r>
          <a:r>
            <a:rPr lang="ru-RU" sz="1100" baseline="0"/>
            <a:t>0% займа. Первый платеж в 300 000 руб. был исправно выплачен. </a:t>
          </a:r>
        </a:p>
        <a:p>
          <a:endParaRPr lang="ru-RU" sz="1100" baseline="0"/>
        </a:p>
        <a:p>
          <a:r>
            <a:rPr lang="ru-RU" sz="1100" b="1" baseline="0"/>
            <a:t>31.</a:t>
          </a:r>
          <a:r>
            <a:rPr lang="en-US" sz="1100" b="1" baseline="0"/>
            <a:t>12.</a:t>
          </a:r>
          <a:r>
            <a:rPr lang="ru-RU" sz="1100" b="1" baseline="0"/>
            <a:t>20</a:t>
          </a:r>
          <a:r>
            <a:rPr lang="en-US" sz="1100" b="1" baseline="0"/>
            <a:t>X2</a:t>
          </a:r>
          <a:r>
            <a:rPr lang="ru-RU" sz="1100" baseline="0"/>
            <a:t>: Компания </a:t>
          </a:r>
          <a:r>
            <a:rPr lang="en-US" sz="1100" baseline="0"/>
            <a:t>A </a:t>
          </a:r>
          <a:r>
            <a:rPr lang="ru-RU" sz="1100" baseline="0"/>
            <a:t>узнала о финансовых проблемах компании </a:t>
          </a:r>
          <a:r>
            <a:rPr lang="en-US" sz="1100" baseline="0"/>
            <a:t>B</a:t>
          </a:r>
          <a:r>
            <a:rPr lang="ru-RU" sz="1100" baseline="0"/>
            <a:t> и заключила, что произошло существенное увеличение рисков.</a:t>
          </a:r>
          <a:r>
            <a:rPr lang="en-US" sz="1100" baseline="0"/>
            <a:t> </a:t>
          </a:r>
          <a:r>
            <a:rPr lang="ru-RU" sz="1100" baseline="0"/>
            <a:t>Была произведена оценка различных исходов, в результате которых пришли к следующему: с вероятностью 35% дефолт произойдет в течение 12 месяцев после отчетной даты и компания сможет возместить только 100 000 руб. по процедуре банкротства (предполагается, что процедура длится год, а по её результатам  удовлетворяются требования кредиторов). С вероятностью 50% дефолт произойдет в 20</a:t>
          </a:r>
          <a:r>
            <a:rPr lang="en-US" sz="1100" baseline="0"/>
            <a:t>X4 </a:t>
          </a:r>
          <a:r>
            <a:rPr lang="ru-RU" sz="1100" baseline="0"/>
            <a:t>году и получится возместить 50 000 руб. С 15% вероятностью компания вернет займ полностью. В 20</a:t>
          </a:r>
          <a:r>
            <a:rPr lang="en-US" sz="1100" baseline="0"/>
            <a:t>X2 </a:t>
          </a:r>
          <a:r>
            <a:rPr lang="ru-RU" sz="1100" baseline="0"/>
            <a:t>году компания </a:t>
          </a:r>
          <a:r>
            <a:rPr lang="en-US" sz="1100" baseline="0"/>
            <a:t>B</a:t>
          </a:r>
          <a:r>
            <a:rPr lang="ru-RU" sz="1100" baseline="0"/>
            <a:t>  осуществила ежегодный платеж.</a:t>
          </a:r>
        </a:p>
        <a:p>
          <a:endParaRPr lang="ru-RU" sz="1100" baseline="0"/>
        </a:p>
        <a:p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31.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ru-R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Компания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 выплатила ежегодный платеж и известно, что в скором времени начнется процедура банкротства. Юристы оценивают, что с вероятностью 40% удастся возместить 150 000 руб. через год.</a:t>
          </a:r>
          <a:endParaRPr lang="ru-RU" sz="1100" baseline="0"/>
        </a:p>
        <a:p>
          <a:endParaRPr lang="ru-RU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Резерв под ожидаемые кредитные убытки в соответствии с МСФО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(IFRS) 9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определим следующим образом:</a:t>
          </a:r>
          <a:endParaRPr lang="ru-RU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558895</xdr:colOff>
      <xdr:row>0</xdr:row>
      <xdr:rowOff>112060</xdr:rowOff>
    </xdr:from>
    <xdr:to>
      <xdr:col>6</xdr:col>
      <xdr:colOff>555533</xdr:colOff>
      <xdr:row>7</xdr:row>
      <xdr:rowOff>112059</xdr:rowOff>
    </xdr:to>
    <xdr:sp macro="" textlink="">
      <xdr:nvSpPr>
        <xdr:cNvPr id="2" name="TextovéPole 1"/>
        <xdr:cNvSpPr txBox="1"/>
      </xdr:nvSpPr>
      <xdr:spPr>
        <a:xfrm>
          <a:off x="558895" y="112060"/>
          <a:ext cx="8295294" cy="1333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ru-RU" sz="1100" b="1"/>
            <a:t>Пример</a:t>
          </a:r>
          <a:r>
            <a:rPr lang="ru-RU" sz="1100" b="1" baseline="0"/>
            <a:t> 3</a:t>
          </a:r>
          <a:r>
            <a:rPr lang="ru-RU" sz="1100" b="1"/>
            <a:t>.</a:t>
          </a:r>
          <a:r>
            <a:rPr lang="ru-RU" sz="1100"/>
            <a:t> Компания</a:t>
          </a:r>
          <a:r>
            <a:rPr lang="ru-RU" sz="1100" baseline="0"/>
            <a:t> </a:t>
          </a:r>
          <a:r>
            <a:rPr lang="en-US" sz="1100" baseline="0"/>
            <a:t>W</a:t>
          </a:r>
          <a:r>
            <a:rPr lang="ru-RU" sz="1100" baseline="0"/>
            <a:t> имеет торговую дебиторскую задолженность в размере 21 970 000 руб. на конец 20</a:t>
          </a:r>
          <a:r>
            <a:rPr lang="en-US" sz="1100" baseline="0"/>
            <a:t>X1 </a:t>
          </a:r>
          <a:r>
            <a:rPr lang="ru-RU" sz="1100" baseline="0"/>
            <a:t>года. Вся  дебиторская задолженность не имеет значительного компонента финансирования в соответствии с МСФО (</a:t>
          </a:r>
          <a:r>
            <a:rPr lang="en-US" sz="1100" baseline="0"/>
            <a:t>IFRS) 15. </a:t>
          </a:r>
          <a:r>
            <a:rPr lang="ru-RU" sz="1100" baseline="0"/>
            <a:t> Дебиторская задолженность в разбивке по периодам просрочки дана в таблице ниже. Таблица также содержит информацию о вероятности дефолта в каждой группе, основанную на прошлом опыте (т.е. статистике по дефолтам в течение срока жизни дебиторской задолженности). При установлении уровня убытков учитывались также прогнозные оценки.  Организация определила, что выделение сегментов покупателей не требуется. Расчет резерва по ожидаемым кредитным убыткам упрощенным способом в соответствии с  МСФО (</a:t>
          </a:r>
          <a:r>
            <a:rPr lang="en-US" sz="1100" baseline="0"/>
            <a:t>IFRS) 9</a:t>
          </a:r>
          <a:r>
            <a:rPr lang="ru-RU" sz="1100" baseline="0"/>
            <a:t> приведен в таблице ниже: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28"/>
  <sheetViews>
    <sheetView showGridLines="0" tabSelected="1" zoomScale="80" zoomScaleNormal="80" workbookViewId="0">
      <selection activeCell="C123" sqref="C123"/>
    </sheetView>
  </sheetViews>
  <sheetFormatPr defaultRowHeight="15"/>
  <cols>
    <col min="1" max="1" width="5.5703125" customWidth="1"/>
    <col min="2" max="2" width="45.28515625" customWidth="1"/>
    <col min="3" max="3" width="25.140625" customWidth="1"/>
    <col min="4" max="4" width="21" customWidth="1"/>
    <col min="5" max="5" width="16.140625" customWidth="1"/>
    <col min="6" max="6" width="22.140625" customWidth="1"/>
    <col min="7" max="7" width="18.28515625" customWidth="1"/>
    <col min="8" max="8" width="17.85546875" customWidth="1"/>
    <col min="9" max="9" width="16.28515625" customWidth="1"/>
    <col min="10" max="10" width="20.42578125" customWidth="1"/>
    <col min="11" max="11" width="14.140625" customWidth="1"/>
  </cols>
  <sheetData>
    <row r="2" spans="1:9">
      <c r="I2" s="11"/>
    </row>
    <row r="3" spans="1:9">
      <c r="I3" s="11"/>
    </row>
    <row r="11" spans="1:9">
      <c r="A11" s="115" t="s">
        <v>70</v>
      </c>
      <c r="B11" s="35" t="s">
        <v>65</v>
      </c>
    </row>
    <row r="12" spans="1:9">
      <c r="A12" s="109"/>
      <c r="B12" s="35"/>
    </row>
    <row r="13" spans="1:9">
      <c r="B13" s="112" t="s">
        <v>72</v>
      </c>
      <c r="E13" s="48" t="s">
        <v>69</v>
      </c>
      <c r="F13" s="56">
        <f>IRR(C16:C21)</f>
        <v>0.16546561524720038</v>
      </c>
    </row>
    <row r="14" spans="1:9" ht="15.75" thickBot="1">
      <c r="A14" s="1"/>
      <c r="B14" s="27"/>
      <c r="C14" s="27"/>
      <c r="D14" s="27"/>
      <c r="E14" s="28"/>
      <c r="F14" s="29"/>
    </row>
    <row r="15" spans="1:9" ht="38.25">
      <c r="A15" s="1"/>
      <c r="B15" s="41" t="s">
        <v>58</v>
      </c>
      <c r="C15" s="41" t="s">
        <v>27</v>
      </c>
      <c r="D15" s="41" t="s">
        <v>29</v>
      </c>
      <c r="E15" s="41" t="s">
        <v>28</v>
      </c>
      <c r="F15" s="41" t="s">
        <v>30</v>
      </c>
    </row>
    <row r="16" spans="1:9">
      <c r="A16" s="1"/>
      <c r="B16" s="116" t="s">
        <v>37</v>
      </c>
      <c r="C16" s="22">
        <v>-950000</v>
      </c>
      <c r="D16" s="24"/>
      <c r="E16" s="38"/>
      <c r="F16" s="38">
        <f>-C16</f>
        <v>950000</v>
      </c>
      <c r="H16" s="93"/>
    </row>
    <row r="17" spans="1:9">
      <c r="A17" s="1"/>
      <c r="B17" s="116" t="s">
        <v>38</v>
      </c>
      <c r="C17" s="38">
        <f>1000000*15%</f>
        <v>150000</v>
      </c>
      <c r="D17" s="38">
        <f>F16</f>
        <v>950000</v>
      </c>
      <c r="E17" s="38">
        <f>D17*$F$53</f>
        <v>157192.33448484036</v>
      </c>
      <c r="F17" s="38">
        <f t="shared" ref="F17" si="0">D17+E17-C17</f>
        <v>957192.33448484028</v>
      </c>
      <c r="H17" s="93"/>
    </row>
    <row r="18" spans="1:9">
      <c r="A18" s="1"/>
      <c r="B18" s="116" t="s">
        <v>39</v>
      </c>
      <c r="C18" s="38">
        <f>1000000*15%</f>
        <v>150000</v>
      </c>
      <c r="D18" s="38">
        <f t="shared" ref="D18:D21" si="1">F17</f>
        <v>957192.33448484028</v>
      </c>
      <c r="E18" s="38">
        <f>D18*$F$53</f>
        <v>158382.4185354381</v>
      </c>
      <c r="F18" s="122">
        <f>D18+E18-C18</f>
        <v>965574.75302027841</v>
      </c>
      <c r="H18" s="93"/>
      <c r="I18" s="93"/>
    </row>
    <row r="19" spans="1:9">
      <c r="A19" s="1"/>
      <c r="B19" s="116" t="s">
        <v>40</v>
      </c>
      <c r="C19" s="38">
        <f>1000000*15%</f>
        <v>150000</v>
      </c>
      <c r="D19" s="38">
        <f t="shared" si="1"/>
        <v>965574.75302027841</v>
      </c>
      <c r="E19" s="38">
        <f>D19*$F$53</f>
        <v>159769.42057566391</v>
      </c>
      <c r="F19" s="38">
        <f t="shared" ref="F19:F21" si="2">D19+E19-C19</f>
        <v>975344.17359594232</v>
      </c>
      <c r="H19" s="93"/>
    </row>
    <row r="20" spans="1:9">
      <c r="A20" s="1"/>
      <c r="B20" s="116" t="s">
        <v>51</v>
      </c>
      <c r="C20" s="38">
        <f>1000000*15%</f>
        <v>150000</v>
      </c>
      <c r="D20" s="38">
        <f t="shared" si="1"/>
        <v>975344.17359594232</v>
      </c>
      <c r="E20" s="38">
        <f>D20*$F$53</f>
        <v>161385.92376182482</v>
      </c>
      <c r="F20" s="38">
        <f t="shared" si="2"/>
        <v>986730.09735776717</v>
      </c>
      <c r="H20" s="93"/>
    </row>
    <row r="21" spans="1:9" ht="15.75" thickBot="1">
      <c r="A21" s="1"/>
      <c r="B21" s="117" t="s">
        <v>52</v>
      </c>
      <c r="C21" s="40">
        <f>1000000*15%+1000000</f>
        <v>1150000</v>
      </c>
      <c r="D21" s="40">
        <f t="shared" si="1"/>
        <v>986730.09735776717</v>
      </c>
      <c r="E21" s="40">
        <f>D21*$F$53</f>
        <v>163269.90264223289</v>
      </c>
      <c r="F21" s="40">
        <f t="shared" si="2"/>
        <v>0</v>
      </c>
      <c r="H21" s="93"/>
    </row>
    <row r="23" spans="1:9">
      <c r="A23" s="110"/>
      <c r="B23" s="35"/>
      <c r="C23" s="1"/>
      <c r="D23" s="1"/>
      <c r="E23" s="1"/>
      <c r="F23" s="1"/>
    </row>
    <row r="24" spans="1:9">
      <c r="B24" s="13" t="s">
        <v>112</v>
      </c>
    </row>
    <row r="25" spans="1:9">
      <c r="B25" s="13"/>
    </row>
    <row r="26" spans="1:9">
      <c r="B26" s="14" t="s">
        <v>17</v>
      </c>
      <c r="C26" s="15" t="s">
        <v>18</v>
      </c>
      <c r="D26" s="15" t="s">
        <v>19</v>
      </c>
    </row>
    <row r="27" spans="1:9">
      <c r="B27" s="123" t="s">
        <v>105</v>
      </c>
      <c r="C27" s="124"/>
      <c r="D27" s="125"/>
    </row>
    <row r="28" spans="1:9">
      <c r="B28" s="16" t="s">
        <v>71</v>
      </c>
      <c r="C28" s="17">
        <v>900000</v>
      </c>
      <c r="D28" s="18"/>
      <c r="E28" t="s">
        <v>48</v>
      </c>
    </row>
    <row r="29" spans="1:9">
      <c r="B29" s="16" t="s">
        <v>71</v>
      </c>
      <c r="C29" s="17">
        <v>50000</v>
      </c>
      <c r="D29" s="18"/>
      <c r="E29" t="s">
        <v>48</v>
      </c>
    </row>
    <row r="30" spans="1:9">
      <c r="B30" s="16" t="s">
        <v>73</v>
      </c>
      <c r="C30" s="18"/>
      <c r="D30" s="17">
        <f>C28+C29</f>
        <v>950000</v>
      </c>
      <c r="E30" t="s">
        <v>48</v>
      </c>
    </row>
    <row r="31" spans="1:9">
      <c r="B31" s="123" t="s">
        <v>62</v>
      </c>
      <c r="C31" s="124"/>
      <c r="D31" s="125"/>
    </row>
    <row r="32" spans="1:9">
      <c r="B32" s="16" t="s">
        <v>71</v>
      </c>
      <c r="C32" s="92">
        <f>E17</f>
        <v>157192.33448484036</v>
      </c>
      <c r="D32" s="17"/>
      <c r="E32" t="s">
        <v>48</v>
      </c>
    </row>
    <row r="33" spans="2:5">
      <c r="B33" s="16" t="s">
        <v>61</v>
      </c>
      <c r="C33" s="18"/>
      <c r="D33" s="17">
        <f>C32</f>
        <v>157192.33448484036</v>
      </c>
      <c r="E33" t="s">
        <v>47</v>
      </c>
    </row>
    <row r="34" spans="2:5">
      <c r="B34" s="123" t="s">
        <v>122</v>
      </c>
      <c r="C34" s="124"/>
      <c r="D34" s="125"/>
    </row>
    <row r="35" spans="2:5">
      <c r="B35" s="16" t="s">
        <v>73</v>
      </c>
      <c r="C35" s="92">
        <f>C17</f>
        <v>150000</v>
      </c>
      <c r="D35" s="17"/>
      <c r="E35" t="s">
        <v>48</v>
      </c>
    </row>
    <row r="36" spans="2:5">
      <c r="B36" s="16" t="s">
        <v>71</v>
      </c>
      <c r="C36" s="18"/>
      <c r="D36" s="17">
        <f>C35</f>
        <v>150000</v>
      </c>
      <c r="E36" t="s">
        <v>48</v>
      </c>
    </row>
    <row r="37" spans="2:5">
      <c r="B37" s="14" t="s">
        <v>20</v>
      </c>
      <c r="C37" s="19">
        <f>SUM(C28:C36)</f>
        <v>1257192.3344848403</v>
      </c>
      <c r="D37" s="19">
        <f>SUM(D28:D36)</f>
        <v>1257192.3344848403</v>
      </c>
    </row>
    <row r="38" spans="2:5">
      <c r="D38" s="118" t="b">
        <f>D37=C37</f>
        <v>1</v>
      </c>
    </row>
    <row r="40" spans="2:5">
      <c r="B40" s="13" t="s">
        <v>128</v>
      </c>
    </row>
    <row r="42" spans="2:5">
      <c r="B42" s="23" t="s">
        <v>24</v>
      </c>
      <c r="C42" s="24"/>
    </row>
    <row r="43" spans="2:5">
      <c r="B43" s="47" t="s">
        <v>74</v>
      </c>
      <c r="C43" s="24"/>
    </row>
    <row r="44" spans="2:5">
      <c r="B44" s="24" t="s">
        <v>71</v>
      </c>
      <c r="C44" s="25">
        <f>F17</f>
        <v>957192.33448484028</v>
      </c>
      <c r="D44" s="21" t="s">
        <v>116</v>
      </c>
    </row>
    <row r="46" spans="2:5">
      <c r="B46" s="23" t="s">
        <v>126</v>
      </c>
      <c r="C46" s="24"/>
    </row>
    <row r="47" spans="2:5">
      <c r="B47" s="47" t="s">
        <v>50</v>
      </c>
      <c r="C47" s="24"/>
    </row>
    <row r="48" spans="2:5">
      <c r="B48" s="26" t="s">
        <v>61</v>
      </c>
      <c r="C48" s="22">
        <f>D33</f>
        <v>157192.33448484036</v>
      </c>
      <c r="D48" s="21" t="s">
        <v>120</v>
      </c>
    </row>
    <row r="51" spans="1:8">
      <c r="A51" s="115" t="s">
        <v>86</v>
      </c>
      <c r="B51" s="35" t="s">
        <v>75</v>
      </c>
    </row>
    <row r="53" spans="1:8">
      <c r="B53" s="112" t="s">
        <v>113</v>
      </c>
      <c r="E53" s="48" t="s">
        <v>69</v>
      </c>
      <c r="F53" s="56">
        <f>IRR(C56:C61)</f>
        <v>0.16546561524720038</v>
      </c>
    </row>
    <row r="54" spans="1:8" ht="15.75" thickBot="1">
      <c r="B54" s="27"/>
      <c r="C54" s="27"/>
      <c r="D54" s="27"/>
      <c r="E54" s="28"/>
      <c r="F54" s="29"/>
      <c r="G54" s="29"/>
      <c r="H54" s="29"/>
    </row>
    <row r="55" spans="1:8" ht="38.25">
      <c r="B55" s="41" t="s">
        <v>58</v>
      </c>
      <c r="C55" s="41" t="s">
        <v>27</v>
      </c>
      <c r="D55" s="41" t="s">
        <v>80</v>
      </c>
      <c r="E55" s="41" t="s">
        <v>82</v>
      </c>
      <c r="F55" s="41" t="s">
        <v>15</v>
      </c>
      <c r="G55" s="41" t="s">
        <v>102</v>
      </c>
      <c r="H55" s="41" t="s">
        <v>81</v>
      </c>
    </row>
    <row r="56" spans="1:8">
      <c r="B56" s="37" t="s">
        <v>37</v>
      </c>
      <c r="C56" s="22">
        <v>-950000</v>
      </c>
      <c r="D56" s="24"/>
      <c r="E56" s="38"/>
      <c r="F56" s="38">
        <f t="shared" ref="F56:F61" si="3">D56+E56-C56</f>
        <v>950000</v>
      </c>
      <c r="G56" s="22">
        <f t="shared" ref="G56:G61" si="4">H56-F56</f>
        <v>0</v>
      </c>
      <c r="H56" s="38">
        <f>F56</f>
        <v>950000</v>
      </c>
    </row>
    <row r="57" spans="1:8">
      <c r="B57" s="37" t="s">
        <v>38</v>
      </c>
      <c r="C57" s="38">
        <f>1000000*15%</f>
        <v>150000</v>
      </c>
      <c r="D57" s="38">
        <f>H56</f>
        <v>950000</v>
      </c>
      <c r="E57" s="38">
        <f>E17</f>
        <v>157192.33448484036</v>
      </c>
      <c r="F57" s="38">
        <f t="shared" si="3"/>
        <v>957192.33448484028</v>
      </c>
      <c r="G57" s="120">
        <f t="shared" si="4"/>
        <v>-47192.334484840278</v>
      </c>
      <c r="H57" s="38">
        <v>910000</v>
      </c>
    </row>
    <row r="58" spans="1:8">
      <c r="B58" s="37" t="s">
        <v>39</v>
      </c>
      <c r="C58" s="38">
        <f>1000000*15%</f>
        <v>150000</v>
      </c>
      <c r="D58" s="38">
        <f>H57</f>
        <v>910000</v>
      </c>
      <c r="E58" s="38">
        <f t="shared" ref="E58:E61" si="5">E18</f>
        <v>158382.4185354381</v>
      </c>
      <c r="F58" s="38">
        <f t="shared" si="3"/>
        <v>918382.41853543813</v>
      </c>
      <c r="G58" s="120">
        <f>H58-F58</f>
        <v>51617.581464561867</v>
      </c>
      <c r="H58" s="38">
        <v>970000</v>
      </c>
    </row>
    <row r="59" spans="1:8">
      <c r="B59" s="37" t="s">
        <v>40</v>
      </c>
      <c r="C59" s="38">
        <f>1000000*15%</f>
        <v>150000</v>
      </c>
      <c r="D59" s="38">
        <f>H58</f>
        <v>970000</v>
      </c>
      <c r="E59" s="38">
        <f t="shared" si="5"/>
        <v>159769.42057566391</v>
      </c>
      <c r="F59" s="38">
        <f t="shared" si="3"/>
        <v>979769.42057566391</v>
      </c>
      <c r="G59" s="120">
        <f t="shared" si="4"/>
        <v>-4769.420575663913</v>
      </c>
      <c r="H59" s="38">
        <v>975000</v>
      </c>
    </row>
    <row r="60" spans="1:8">
      <c r="B60" s="37" t="s">
        <v>51</v>
      </c>
      <c r="C60" s="38">
        <f>1000000*15%</f>
        <v>150000</v>
      </c>
      <c r="D60" s="38">
        <f>H59</f>
        <v>975000</v>
      </c>
      <c r="E60" s="38">
        <f t="shared" si="5"/>
        <v>161385.92376182482</v>
      </c>
      <c r="F60" s="38">
        <f t="shared" si="3"/>
        <v>986385.92376182484</v>
      </c>
      <c r="G60" s="120">
        <f t="shared" si="4"/>
        <v>1614.0762381751556</v>
      </c>
      <c r="H60" s="38">
        <v>988000</v>
      </c>
    </row>
    <row r="61" spans="1:8" ht="15.75" thickBot="1">
      <c r="B61" s="39" t="s">
        <v>52</v>
      </c>
      <c r="C61" s="40">
        <f>1000000*15%+1000000</f>
        <v>1150000</v>
      </c>
      <c r="D61" s="40">
        <f>H60</f>
        <v>988000</v>
      </c>
      <c r="E61" s="40">
        <f t="shared" si="5"/>
        <v>163269.90264223289</v>
      </c>
      <c r="F61" s="40">
        <f t="shared" si="3"/>
        <v>1269.9026422328316</v>
      </c>
      <c r="G61" s="121">
        <f t="shared" si="4"/>
        <v>-1269.9026422328316</v>
      </c>
      <c r="H61" s="40">
        <v>0</v>
      </c>
    </row>
    <row r="64" spans="1:8">
      <c r="B64" s="13" t="s">
        <v>114</v>
      </c>
    </row>
    <row r="65" spans="2:6">
      <c r="B65" s="13"/>
    </row>
    <row r="66" spans="2:6">
      <c r="B66" s="14" t="s">
        <v>17</v>
      </c>
      <c r="C66" s="15" t="s">
        <v>18</v>
      </c>
      <c r="D66" s="15" t="s">
        <v>19</v>
      </c>
    </row>
    <row r="67" spans="2:6">
      <c r="B67" s="123" t="s">
        <v>105</v>
      </c>
      <c r="C67" s="124"/>
      <c r="D67" s="125"/>
    </row>
    <row r="68" spans="2:6">
      <c r="B68" s="16" t="s">
        <v>71</v>
      </c>
      <c r="C68" s="17">
        <v>900000</v>
      </c>
      <c r="D68" s="18"/>
      <c r="E68" t="s">
        <v>48</v>
      </c>
      <c r="F68" s="103"/>
    </row>
    <row r="69" spans="2:6" ht="15" customHeight="1">
      <c r="B69" s="16" t="s">
        <v>71</v>
      </c>
      <c r="C69" s="17">
        <v>50000</v>
      </c>
      <c r="D69" s="18"/>
      <c r="E69" t="s">
        <v>48</v>
      </c>
    </row>
    <row r="70" spans="2:6">
      <c r="B70" s="16" t="s">
        <v>73</v>
      </c>
      <c r="C70" s="18"/>
      <c r="D70" s="17">
        <f>C68+C69</f>
        <v>950000</v>
      </c>
      <c r="E70" t="s">
        <v>48</v>
      </c>
    </row>
    <row r="71" spans="2:6">
      <c r="B71" s="123" t="s">
        <v>76</v>
      </c>
      <c r="C71" s="124"/>
      <c r="D71" s="125"/>
    </row>
    <row r="72" spans="2:6">
      <c r="B72" s="16" t="s">
        <v>78</v>
      </c>
      <c r="C72" s="17">
        <f>D73</f>
        <v>47192.334484840278</v>
      </c>
      <c r="D72" s="17"/>
      <c r="E72" t="s">
        <v>79</v>
      </c>
    </row>
    <row r="73" spans="2:6">
      <c r="B73" s="16" t="s">
        <v>71</v>
      </c>
      <c r="C73" s="18"/>
      <c r="D73" s="17">
        <f>-G57</f>
        <v>47192.334484840278</v>
      </c>
      <c r="E73" t="s">
        <v>48</v>
      </c>
    </row>
    <row r="74" spans="2:6">
      <c r="B74" s="123" t="s">
        <v>77</v>
      </c>
      <c r="C74" s="124"/>
      <c r="D74" s="125"/>
    </row>
    <row r="75" spans="2:6">
      <c r="B75" s="16" t="s">
        <v>71</v>
      </c>
      <c r="C75" s="92">
        <f>E57</f>
        <v>157192.33448484036</v>
      </c>
      <c r="D75" s="17"/>
      <c r="E75" t="s">
        <v>48</v>
      </c>
    </row>
    <row r="76" spans="2:6">
      <c r="B76" s="16" t="s">
        <v>61</v>
      </c>
      <c r="C76" s="18"/>
      <c r="D76" s="17">
        <f>C75</f>
        <v>157192.33448484036</v>
      </c>
      <c r="E76" t="s">
        <v>47</v>
      </c>
    </row>
    <row r="77" spans="2:6">
      <c r="B77" s="123" t="s">
        <v>123</v>
      </c>
      <c r="C77" s="124"/>
      <c r="D77" s="125"/>
    </row>
    <row r="78" spans="2:6">
      <c r="B78" s="16" t="s">
        <v>73</v>
      </c>
      <c r="C78" s="92">
        <f>C57</f>
        <v>150000</v>
      </c>
      <c r="D78" s="17"/>
      <c r="E78" t="s">
        <v>48</v>
      </c>
    </row>
    <row r="79" spans="2:6">
      <c r="B79" s="16" t="s">
        <v>71</v>
      </c>
      <c r="C79" s="18"/>
      <c r="D79" s="17">
        <f>C78</f>
        <v>150000</v>
      </c>
      <c r="E79" t="s">
        <v>48</v>
      </c>
    </row>
    <row r="80" spans="2:6">
      <c r="B80" s="14" t="s">
        <v>20</v>
      </c>
      <c r="C80" s="19">
        <f>SUM(C67:C79)</f>
        <v>1304384.6689696806</v>
      </c>
      <c r="D80" s="19">
        <f>SUM(D67:D79)</f>
        <v>1304384.6689696806</v>
      </c>
    </row>
    <row r="81" spans="1:6">
      <c r="D81" s="118" t="b">
        <f>D80=C80</f>
        <v>1</v>
      </c>
    </row>
    <row r="83" spans="1:6">
      <c r="B83" s="13" t="s">
        <v>129</v>
      </c>
    </row>
    <row r="85" spans="1:6">
      <c r="B85" s="23" t="s">
        <v>24</v>
      </c>
      <c r="C85" s="24"/>
    </row>
    <row r="86" spans="1:6">
      <c r="B86" s="47" t="s">
        <v>74</v>
      </c>
      <c r="C86" s="24"/>
    </row>
    <row r="87" spans="1:6">
      <c r="B87" s="24" t="s">
        <v>71</v>
      </c>
      <c r="C87" s="25">
        <f>H57</f>
        <v>910000</v>
      </c>
      <c r="D87" s="21" t="s">
        <v>103</v>
      </c>
    </row>
    <row r="89" spans="1:6">
      <c r="B89" s="23" t="s">
        <v>126</v>
      </c>
      <c r="C89" s="24"/>
      <c r="F89" s="113"/>
    </row>
    <row r="90" spans="1:6">
      <c r="B90" s="47" t="s">
        <v>50</v>
      </c>
      <c r="C90" s="24"/>
      <c r="F90" s="114"/>
    </row>
    <row r="91" spans="1:6">
      <c r="B91" s="26" t="s">
        <v>61</v>
      </c>
      <c r="C91" s="22">
        <f>D76</f>
        <v>157192.33448484036</v>
      </c>
      <c r="D91" s="21" t="s">
        <v>120</v>
      </c>
      <c r="F91" s="114"/>
    </row>
    <row r="92" spans="1:6">
      <c r="B92" s="47" t="s">
        <v>83</v>
      </c>
      <c r="C92" s="24"/>
    </row>
    <row r="93" spans="1:6" ht="30">
      <c r="B93" s="26" t="s">
        <v>117</v>
      </c>
      <c r="C93" s="22">
        <f>-C72</f>
        <v>-47192.334484840278</v>
      </c>
      <c r="D93" s="21" t="s">
        <v>104</v>
      </c>
    </row>
    <row r="96" spans="1:6">
      <c r="A96" s="115" t="s">
        <v>87</v>
      </c>
      <c r="B96" s="35" t="s">
        <v>84</v>
      </c>
    </row>
    <row r="98" spans="2:5">
      <c r="B98" s="13" t="s">
        <v>115</v>
      </c>
    </row>
    <row r="99" spans="2:5">
      <c r="B99" s="13"/>
    </row>
    <row r="100" spans="2:5">
      <c r="B100" s="14" t="s">
        <v>17</v>
      </c>
      <c r="C100" s="15" t="s">
        <v>18</v>
      </c>
      <c r="D100" s="15" t="s">
        <v>19</v>
      </c>
    </row>
    <row r="101" spans="2:5">
      <c r="B101" s="123" t="s">
        <v>107</v>
      </c>
      <c r="C101" s="124"/>
      <c r="D101" s="125"/>
    </row>
    <row r="102" spans="2:5">
      <c r="B102" s="16" t="s">
        <v>71</v>
      </c>
      <c r="C102" s="17">
        <v>900000</v>
      </c>
      <c r="D102" s="18"/>
      <c r="E102" t="s">
        <v>48</v>
      </c>
    </row>
    <row r="103" spans="2:5">
      <c r="B103" s="16" t="s">
        <v>106</v>
      </c>
      <c r="C103" s="17">
        <v>50000</v>
      </c>
      <c r="D103" s="18"/>
      <c r="E103" t="s">
        <v>47</v>
      </c>
    </row>
    <row r="104" spans="2:5">
      <c r="B104" s="16" t="s">
        <v>73</v>
      </c>
      <c r="C104" s="18"/>
      <c r="D104" s="17">
        <f>C102+C103</f>
        <v>950000</v>
      </c>
      <c r="E104" t="s">
        <v>48</v>
      </c>
    </row>
    <row r="105" spans="2:5">
      <c r="B105" s="123" t="s">
        <v>76</v>
      </c>
      <c r="C105" s="124"/>
      <c r="D105" s="125"/>
    </row>
    <row r="106" spans="2:5">
      <c r="B106" s="16" t="s">
        <v>71</v>
      </c>
      <c r="C106" s="17">
        <f>H57-C102</f>
        <v>10000</v>
      </c>
      <c r="D106" s="17"/>
      <c r="E106" t="s">
        <v>48</v>
      </c>
    </row>
    <row r="107" spans="2:5" ht="26.25">
      <c r="B107" s="16" t="s">
        <v>121</v>
      </c>
      <c r="C107" s="18"/>
      <c r="D107" s="17">
        <f>C106</f>
        <v>10000</v>
      </c>
      <c r="E107" t="s">
        <v>47</v>
      </c>
    </row>
    <row r="108" spans="2:5">
      <c r="B108" s="123" t="s">
        <v>77</v>
      </c>
      <c r="C108" s="124"/>
      <c r="D108" s="125"/>
    </row>
    <row r="109" spans="2:5">
      <c r="B109" s="16" t="s">
        <v>73</v>
      </c>
      <c r="C109" s="92">
        <f>C57</f>
        <v>150000</v>
      </c>
      <c r="D109" s="17"/>
      <c r="E109" t="s">
        <v>48</v>
      </c>
    </row>
    <row r="110" spans="2:5">
      <c r="B110" s="16" t="s">
        <v>61</v>
      </c>
      <c r="C110" s="18"/>
      <c r="D110" s="17">
        <f>C109</f>
        <v>150000</v>
      </c>
      <c r="E110" t="s">
        <v>47</v>
      </c>
    </row>
    <row r="111" spans="2:5">
      <c r="B111" s="14" t="s">
        <v>20</v>
      </c>
      <c r="C111" s="19">
        <f>SUM(C101:C110)</f>
        <v>1110000</v>
      </c>
      <c r="D111" s="19">
        <f>SUM(D101:D110)</f>
        <v>1110000</v>
      </c>
    </row>
    <row r="112" spans="2:5">
      <c r="D112" s="118" t="b">
        <f>D111=C111</f>
        <v>1</v>
      </c>
    </row>
    <row r="114" spans="1:4">
      <c r="B114" s="13" t="s">
        <v>130</v>
      </c>
    </row>
    <row r="116" spans="1:4">
      <c r="B116" s="23" t="s">
        <v>24</v>
      </c>
      <c r="C116" s="24"/>
    </row>
    <row r="117" spans="1:4">
      <c r="B117" s="47" t="s">
        <v>74</v>
      </c>
      <c r="C117" s="24"/>
    </row>
    <row r="118" spans="1:4">
      <c r="B118" s="24" t="s">
        <v>71</v>
      </c>
      <c r="C118" s="25">
        <f>H57</f>
        <v>910000</v>
      </c>
      <c r="D118" s="21" t="s">
        <v>103</v>
      </c>
    </row>
    <row r="120" spans="1:4">
      <c r="B120" s="23" t="s">
        <v>126</v>
      </c>
      <c r="C120" s="24"/>
    </row>
    <row r="121" spans="1:4">
      <c r="B121" s="47" t="s">
        <v>50</v>
      </c>
      <c r="C121" s="24"/>
    </row>
    <row r="122" spans="1:4" ht="30">
      <c r="B122" s="26" t="s">
        <v>85</v>
      </c>
      <c r="C122" s="22">
        <f>D107</f>
        <v>10000</v>
      </c>
      <c r="D122" s="21" t="s">
        <v>108</v>
      </c>
    </row>
    <row r="123" spans="1:4">
      <c r="B123" s="26" t="s">
        <v>61</v>
      </c>
      <c r="C123" s="22">
        <f>D110</f>
        <v>150000</v>
      </c>
      <c r="D123" s="21" t="s">
        <v>109</v>
      </c>
    </row>
    <row r="124" spans="1:4">
      <c r="B124" s="26"/>
      <c r="C124" s="22"/>
    </row>
    <row r="126" spans="1:4">
      <c r="A126" s="119" t="s">
        <v>127</v>
      </c>
    </row>
    <row r="128" spans="1:4" ht="16.5" customHeight="1"/>
  </sheetData>
  <mergeCells count="10">
    <mergeCell ref="B77:D77"/>
    <mergeCell ref="B101:D101"/>
    <mergeCell ref="B105:D105"/>
    <mergeCell ref="B108:D108"/>
    <mergeCell ref="B27:D27"/>
    <mergeCell ref="B31:D31"/>
    <mergeCell ref="B67:D67"/>
    <mergeCell ref="B74:D74"/>
    <mergeCell ref="B71:D71"/>
    <mergeCell ref="B34:D3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37"/>
  <sheetViews>
    <sheetView showGridLines="0" topLeftCell="A4" zoomScale="80" zoomScaleNormal="80" workbookViewId="0">
      <selection activeCell="C137" sqref="C137"/>
    </sheetView>
  </sheetViews>
  <sheetFormatPr defaultRowHeight="15"/>
  <cols>
    <col min="1" max="1" width="10.28515625" customWidth="1"/>
    <col min="2" max="2" width="39.85546875" customWidth="1"/>
    <col min="3" max="3" width="25.140625" customWidth="1"/>
    <col min="4" max="4" width="21" customWidth="1"/>
    <col min="5" max="5" width="16.140625" customWidth="1"/>
    <col min="6" max="6" width="22.140625" customWidth="1"/>
    <col min="7" max="7" width="20.28515625" customWidth="1"/>
    <col min="8" max="8" width="17.85546875" customWidth="1"/>
    <col min="9" max="9" width="16.28515625" customWidth="1"/>
    <col min="10" max="10" width="20.42578125" customWidth="1"/>
    <col min="11" max="11" width="15" customWidth="1"/>
  </cols>
  <sheetData>
    <row r="2" spans="2:9">
      <c r="I2" s="11"/>
    </row>
    <row r="3" spans="2:9">
      <c r="I3" s="11"/>
    </row>
    <row r="16" spans="2:9">
      <c r="B16" s="35" t="s">
        <v>91</v>
      </c>
      <c r="E16" s="48" t="s">
        <v>69</v>
      </c>
      <c r="F16" s="56">
        <f>IRR(C19:C23)</f>
        <v>7.7138472952083495E-2</v>
      </c>
    </row>
    <row r="17" spans="1:6" ht="15.75" thickBot="1">
      <c r="A17" s="1"/>
      <c r="B17" s="27"/>
      <c r="C17" s="27"/>
      <c r="D17" s="27"/>
      <c r="E17" s="28"/>
      <c r="F17" s="29"/>
    </row>
    <row r="18" spans="1:6" ht="38.25">
      <c r="A18" s="1"/>
      <c r="B18" s="41" t="s">
        <v>58</v>
      </c>
      <c r="C18" s="41" t="s">
        <v>27</v>
      </c>
      <c r="D18" s="41" t="s">
        <v>29</v>
      </c>
      <c r="E18" s="41" t="s">
        <v>28</v>
      </c>
      <c r="F18" s="41" t="s">
        <v>30</v>
      </c>
    </row>
    <row r="19" spans="1:6">
      <c r="A19" s="1"/>
      <c r="B19" s="37" t="s">
        <v>37</v>
      </c>
      <c r="C19" s="22">
        <v>-1000000</v>
      </c>
      <c r="D19" s="24"/>
      <c r="E19" s="38"/>
      <c r="F19" s="38">
        <f>-C19</f>
        <v>1000000</v>
      </c>
    </row>
    <row r="20" spans="1:6">
      <c r="A20" s="1"/>
      <c r="B20" s="37" t="s">
        <v>38</v>
      </c>
      <c r="C20" s="38">
        <v>300000</v>
      </c>
      <c r="D20" s="38">
        <f>F19</f>
        <v>1000000</v>
      </c>
      <c r="E20" s="38">
        <f>D20*$F$16</f>
        <v>77138.472952083495</v>
      </c>
      <c r="F20" s="38">
        <f t="shared" ref="F20" si="0">D20+E20-C20</f>
        <v>777138.47295208345</v>
      </c>
    </row>
    <row r="21" spans="1:6">
      <c r="A21" s="1"/>
      <c r="B21" s="37" t="s">
        <v>39</v>
      </c>
      <c r="C21" s="38">
        <v>300000</v>
      </c>
      <c r="D21" s="38">
        <f t="shared" ref="D21" si="1">F20</f>
        <v>777138.47295208345</v>
      </c>
      <c r="E21" s="38">
        <f>D21*$F$16</f>
        <v>59947.275075837759</v>
      </c>
      <c r="F21" s="38">
        <f>D21+E21-C21</f>
        <v>537085.74802792119</v>
      </c>
    </row>
    <row r="22" spans="1:6">
      <c r="A22" s="1"/>
      <c r="B22" s="37" t="s">
        <v>40</v>
      </c>
      <c r="C22" s="38">
        <v>300000</v>
      </c>
      <c r="D22" s="38">
        <f t="shared" ref="D22" si="2">F21</f>
        <v>537085.74802792119</v>
      </c>
      <c r="E22" s="38">
        <f>D22*$F$16</f>
        <v>41429.974447201334</v>
      </c>
      <c r="F22" s="38">
        <f t="shared" ref="F22" si="3">D22+E22-C22</f>
        <v>278515.72247512254</v>
      </c>
    </row>
    <row r="23" spans="1:6" ht="15.75" thickBot="1">
      <c r="A23" s="1"/>
      <c r="B23" s="39" t="s">
        <v>51</v>
      </c>
      <c r="C23" s="40">
        <v>300000</v>
      </c>
      <c r="D23" s="40">
        <f t="shared" ref="D23" si="4">F22</f>
        <v>278515.72247512254</v>
      </c>
      <c r="E23" s="40">
        <f>D23*$F$16</f>
        <v>21484.277524877234</v>
      </c>
      <c r="F23" s="40">
        <f t="shared" ref="F23" si="5">D23+E23-C23</f>
        <v>0</v>
      </c>
    </row>
    <row r="25" spans="1:6">
      <c r="A25" s="110" t="s">
        <v>88</v>
      </c>
      <c r="B25" s="35" t="s">
        <v>92</v>
      </c>
      <c r="C25" s="1"/>
      <c r="D25" s="1"/>
      <c r="E25" s="1"/>
      <c r="F25" s="1"/>
    </row>
    <row r="26" spans="1:6">
      <c r="B26" s="30"/>
      <c r="C26" s="1"/>
      <c r="D26" s="1"/>
      <c r="E26" s="1"/>
      <c r="F26" s="1"/>
    </row>
    <row r="27" spans="1:6" ht="15.75" thickBot="1">
      <c r="B27" s="31"/>
      <c r="C27" s="36" t="s">
        <v>31</v>
      </c>
      <c r="D27" s="36"/>
      <c r="E27" s="36" t="s">
        <v>32</v>
      </c>
      <c r="F27" s="36" t="s">
        <v>33</v>
      </c>
    </row>
    <row r="28" spans="1:6" ht="38.25">
      <c r="B28" s="41" t="s">
        <v>36</v>
      </c>
      <c r="C28" s="41" t="s">
        <v>43</v>
      </c>
      <c r="D28" s="41" t="s">
        <v>41</v>
      </c>
      <c r="E28" s="41" t="s">
        <v>42</v>
      </c>
      <c r="F28" s="41" t="s">
        <v>44</v>
      </c>
    </row>
    <row r="29" spans="1:6">
      <c r="B29" s="42" t="s">
        <v>34</v>
      </c>
      <c r="C29" s="43">
        <v>8.0000000000000002E-3</v>
      </c>
      <c r="D29" s="44">
        <v>0.8</v>
      </c>
      <c r="E29" s="45">
        <f>D29*F20</f>
        <v>621710.77836166683</v>
      </c>
      <c r="F29" s="45">
        <f>E29*C29</f>
        <v>4973.6862268933346</v>
      </c>
    </row>
    <row r="30" spans="1:6">
      <c r="B30" s="42" t="s">
        <v>35</v>
      </c>
      <c r="C30" s="43">
        <f>100%-C29</f>
        <v>0.99199999999999999</v>
      </c>
      <c r="D30" s="44">
        <v>0</v>
      </c>
      <c r="E30" s="45">
        <f>D30*F3</f>
        <v>0</v>
      </c>
      <c r="F30" s="45">
        <f>E30*C30</f>
        <v>0</v>
      </c>
    </row>
    <row r="31" spans="1:6" ht="15.75" thickBot="1">
      <c r="B31" s="32" t="s">
        <v>15</v>
      </c>
      <c r="C31" s="33"/>
      <c r="D31" s="33"/>
      <c r="E31" s="34"/>
      <c r="F31" s="34">
        <f>ROUND(SUM(F29:F30),)</f>
        <v>4974</v>
      </c>
    </row>
    <row r="33" spans="1:5">
      <c r="A33" s="110"/>
      <c r="B33" s="46" t="s">
        <v>93</v>
      </c>
    </row>
    <row r="34" spans="1:5">
      <c r="B34" s="13"/>
    </row>
    <row r="35" spans="1:5">
      <c r="B35" s="14" t="s">
        <v>17</v>
      </c>
      <c r="C35" s="15" t="s">
        <v>18</v>
      </c>
      <c r="D35" s="15" t="s">
        <v>19</v>
      </c>
    </row>
    <row r="36" spans="1:5">
      <c r="B36" s="123" t="s">
        <v>60</v>
      </c>
      <c r="C36" s="124"/>
      <c r="D36" s="125"/>
    </row>
    <row r="37" spans="1:5">
      <c r="B37" s="16" t="s">
        <v>23</v>
      </c>
      <c r="C37" s="17">
        <f>F31</f>
        <v>4974</v>
      </c>
      <c r="D37" s="18"/>
      <c r="E37" t="s">
        <v>47</v>
      </c>
    </row>
    <row r="38" spans="1:5">
      <c r="B38" s="16" t="s">
        <v>22</v>
      </c>
      <c r="C38" s="18"/>
      <c r="D38" s="17">
        <f>C37</f>
        <v>4974</v>
      </c>
      <c r="E38" t="s">
        <v>48</v>
      </c>
    </row>
    <row r="39" spans="1:5">
      <c r="B39" s="123" t="s">
        <v>62</v>
      </c>
      <c r="C39" s="124"/>
      <c r="D39" s="125"/>
    </row>
    <row r="40" spans="1:5">
      <c r="B40" s="16" t="s">
        <v>49</v>
      </c>
      <c r="C40" s="92">
        <f>ROUND(E20,)</f>
        <v>77138</v>
      </c>
      <c r="D40" s="17"/>
      <c r="E40" t="s">
        <v>48</v>
      </c>
    </row>
    <row r="41" spans="1:5">
      <c r="B41" s="16" t="s">
        <v>61</v>
      </c>
      <c r="C41" s="18"/>
      <c r="D41" s="17">
        <f>C40</f>
        <v>77138</v>
      </c>
      <c r="E41" t="s">
        <v>47</v>
      </c>
    </row>
    <row r="42" spans="1:5">
      <c r="B42" s="14" t="s">
        <v>20</v>
      </c>
      <c r="C42" s="19">
        <f>SUM(C37:C41)</f>
        <v>82112</v>
      </c>
      <c r="D42" s="19">
        <f>SUM(D37:D41)</f>
        <v>82112</v>
      </c>
    </row>
    <row r="43" spans="1:5">
      <c r="D43" s="118" t="b">
        <f>D42=C42</f>
        <v>1</v>
      </c>
    </row>
    <row r="44" spans="1:5">
      <c r="A44" s="110"/>
      <c r="B44" s="46" t="s">
        <v>94</v>
      </c>
    </row>
    <row r="46" spans="1:5">
      <c r="B46" s="23" t="s">
        <v>24</v>
      </c>
      <c r="C46" s="24"/>
    </row>
    <row r="47" spans="1:5">
      <c r="B47" s="24" t="s">
        <v>49</v>
      </c>
      <c r="C47" s="25">
        <f>ROUND(F20-F31,)</f>
        <v>772164</v>
      </c>
    </row>
    <row r="49" spans="1:11">
      <c r="B49" s="23" t="s">
        <v>126</v>
      </c>
      <c r="C49" s="24"/>
    </row>
    <row r="50" spans="1:11">
      <c r="B50" s="47" t="s">
        <v>50</v>
      </c>
      <c r="C50" s="24"/>
    </row>
    <row r="51" spans="1:11" ht="30">
      <c r="B51" s="26" t="s">
        <v>26</v>
      </c>
      <c r="C51" s="22">
        <f>-C37</f>
        <v>-4974</v>
      </c>
    </row>
    <row r="52" spans="1:11">
      <c r="B52" s="26" t="s">
        <v>61</v>
      </c>
      <c r="C52" s="22">
        <f>D41</f>
        <v>77138</v>
      </c>
      <c r="D52" s="21" t="s">
        <v>124</v>
      </c>
    </row>
    <row r="54" spans="1:11">
      <c r="A54" s="110" t="s">
        <v>89</v>
      </c>
      <c r="B54" s="35" t="s">
        <v>95</v>
      </c>
    </row>
    <row r="56" spans="1:11">
      <c r="B56" s="49"/>
      <c r="C56" s="1"/>
      <c r="D56" s="1"/>
      <c r="E56" s="50"/>
      <c r="F56" s="51"/>
    </row>
    <row r="57" spans="1:11" ht="15" customHeight="1">
      <c r="B57" s="127" t="s">
        <v>58</v>
      </c>
      <c r="C57" s="126" t="s">
        <v>55</v>
      </c>
      <c r="D57" s="126"/>
      <c r="E57" s="126"/>
      <c r="F57" s="126" t="s">
        <v>111</v>
      </c>
      <c r="G57" s="126"/>
      <c r="H57" s="126"/>
      <c r="I57" s="126" t="s">
        <v>59</v>
      </c>
      <c r="J57" s="126"/>
      <c r="K57" s="126"/>
    </row>
    <row r="58" spans="1:11">
      <c r="B58" s="128"/>
      <c r="C58" s="126"/>
      <c r="D58" s="126"/>
      <c r="E58" s="126"/>
      <c r="F58" s="126"/>
      <c r="G58" s="126"/>
      <c r="H58" s="126"/>
      <c r="I58" s="126"/>
      <c r="J58" s="126"/>
      <c r="K58" s="126"/>
    </row>
    <row r="59" spans="1:11" ht="38.25">
      <c r="B59" s="128"/>
      <c r="C59" s="57" t="s">
        <v>27</v>
      </c>
      <c r="D59" s="58" t="s">
        <v>54</v>
      </c>
      <c r="E59" s="58" t="s">
        <v>53</v>
      </c>
      <c r="F59" s="64" t="s">
        <v>27</v>
      </c>
      <c r="G59" s="65" t="s">
        <v>54</v>
      </c>
      <c r="H59" s="65" t="s">
        <v>53</v>
      </c>
      <c r="I59" s="71" t="s">
        <v>27</v>
      </c>
      <c r="J59" s="72" t="s">
        <v>54</v>
      </c>
      <c r="K59" s="72" t="s">
        <v>53</v>
      </c>
    </row>
    <row r="60" spans="1:11">
      <c r="B60" s="83" t="s">
        <v>40</v>
      </c>
      <c r="C60" s="59">
        <v>0</v>
      </c>
      <c r="D60" s="60">
        <f>1/(1+$C$63)^1</f>
        <v>0.92838574158374254</v>
      </c>
      <c r="E60" s="59">
        <f>C60*D60</f>
        <v>0</v>
      </c>
      <c r="F60" s="66">
        <f>C22</f>
        <v>300000</v>
      </c>
      <c r="G60" s="67">
        <f>D60</f>
        <v>0.92838574158374254</v>
      </c>
      <c r="H60" s="66">
        <f>F60*G60</f>
        <v>278515.72247512278</v>
      </c>
      <c r="I60" s="73">
        <f>F60</f>
        <v>300000</v>
      </c>
      <c r="J60" s="74">
        <f>G60</f>
        <v>0.92838574158374254</v>
      </c>
      <c r="K60" s="73">
        <f>J60*I60</f>
        <v>278515.72247512278</v>
      </c>
    </row>
    <row r="61" spans="1:11">
      <c r="B61" s="83" t="s">
        <v>51</v>
      </c>
      <c r="C61" s="59">
        <v>100000</v>
      </c>
      <c r="D61" s="60">
        <f>1/(1+$C$63)^2</f>
        <v>0.86190008517599559</v>
      </c>
      <c r="E61" s="59">
        <f>C61*D61</f>
        <v>86190.008517599563</v>
      </c>
      <c r="F61" s="66">
        <v>0</v>
      </c>
      <c r="G61" s="67">
        <f>D61</f>
        <v>0.86190008517599559</v>
      </c>
      <c r="H61" s="66">
        <f>F61*G61</f>
        <v>0</v>
      </c>
      <c r="I61" s="73">
        <f>I60</f>
        <v>300000</v>
      </c>
      <c r="J61" s="74">
        <f>G61</f>
        <v>0.86190008517599559</v>
      </c>
      <c r="K61" s="73">
        <f>J61*I61</f>
        <v>258570.02555279867</v>
      </c>
    </row>
    <row r="62" spans="1:11">
      <c r="B62" s="83" t="s">
        <v>52</v>
      </c>
      <c r="C62" s="59">
        <v>0</v>
      </c>
      <c r="D62" s="60">
        <f>1/(1+$C$63)^3</f>
        <v>0.80017574974720762</v>
      </c>
      <c r="E62" s="59">
        <v>0</v>
      </c>
      <c r="F62" s="66">
        <v>50000</v>
      </c>
      <c r="G62" s="67">
        <f>D62</f>
        <v>0.80017574974720762</v>
      </c>
      <c r="H62" s="66">
        <f>F62*G62</f>
        <v>40008.78748736038</v>
      </c>
      <c r="I62" s="73">
        <v>0</v>
      </c>
      <c r="J62" s="74">
        <f>G62</f>
        <v>0.80017574974720762</v>
      </c>
      <c r="K62" s="73">
        <f>J62*I62</f>
        <v>0</v>
      </c>
    </row>
    <row r="63" spans="1:11">
      <c r="B63" s="78" t="s">
        <v>15</v>
      </c>
      <c r="C63" s="61">
        <f>F16</f>
        <v>7.7138472952083495E-2</v>
      </c>
      <c r="D63" s="62"/>
      <c r="E63" s="63">
        <f>SUM(E60:E62)</f>
        <v>86190.008517599563</v>
      </c>
      <c r="F63" s="68">
        <f>C63</f>
        <v>7.7138472952083495E-2</v>
      </c>
      <c r="G63" s="69"/>
      <c r="H63" s="70">
        <f>SUM(H60:H62)</f>
        <v>318524.50996248313</v>
      </c>
      <c r="I63" s="75">
        <f>F63</f>
        <v>7.7138472952083495E-2</v>
      </c>
      <c r="J63" s="76"/>
      <c r="K63" s="77">
        <f>SUM(K60:K62)</f>
        <v>537085.74802792142</v>
      </c>
    </row>
    <row r="64" spans="1:11">
      <c r="B64" s="53"/>
      <c r="C64" s="52"/>
      <c r="D64" s="1"/>
    </row>
    <row r="65" spans="1:11">
      <c r="B65" s="104" t="s">
        <v>56</v>
      </c>
      <c r="C65" s="79"/>
      <c r="D65" s="80"/>
      <c r="E65" s="84">
        <f>F21</f>
        <v>537085.74802792119</v>
      </c>
      <c r="F65" s="85"/>
      <c r="G65" s="85"/>
      <c r="H65" s="84">
        <f>E65</f>
        <v>537085.74802792119</v>
      </c>
      <c r="I65" s="85"/>
      <c r="J65" s="85"/>
      <c r="K65" s="84">
        <f>E65</f>
        <v>537085.74802792119</v>
      </c>
    </row>
    <row r="66" spans="1:11">
      <c r="B66" s="49" t="s">
        <v>42</v>
      </c>
      <c r="C66" s="81"/>
      <c r="D66" s="49"/>
      <c r="E66" s="86">
        <f>E65-E63</f>
        <v>450895.73951032164</v>
      </c>
      <c r="F66" s="87"/>
      <c r="G66" s="88"/>
      <c r="H66" s="86">
        <f>H65-H63</f>
        <v>218561.23806543805</v>
      </c>
      <c r="I66" s="88"/>
      <c r="J66" s="88"/>
      <c r="K66" s="86">
        <f>K65-K63</f>
        <v>0</v>
      </c>
    </row>
    <row r="67" spans="1:11">
      <c r="B67" s="82" t="s">
        <v>57</v>
      </c>
      <c r="C67" s="80"/>
      <c r="D67" s="80"/>
      <c r="E67" s="89">
        <v>0.35</v>
      </c>
      <c r="F67" s="90"/>
      <c r="G67" s="85"/>
      <c r="H67" s="89">
        <v>0.5</v>
      </c>
      <c r="I67" s="85"/>
      <c r="J67" s="85"/>
      <c r="K67" s="89">
        <v>0.15</v>
      </c>
    </row>
    <row r="68" spans="1:11">
      <c r="B68" s="49" t="s">
        <v>118</v>
      </c>
      <c r="D68" s="55"/>
      <c r="E68" s="86">
        <f>E67*E66</f>
        <v>157813.50882861257</v>
      </c>
      <c r="F68" s="87"/>
      <c r="G68" s="91"/>
      <c r="H68" s="86">
        <f>H67*H66</f>
        <v>109280.61903271903</v>
      </c>
      <c r="I68" s="91"/>
      <c r="J68" s="91"/>
      <c r="K68" s="86">
        <f>K67*K66</f>
        <v>0</v>
      </c>
    </row>
    <row r="69" spans="1:11">
      <c r="B69" s="53"/>
      <c r="D69" s="54"/>
      <c r="E69" s="50"/>
      <c r="F69" s="51"/>
      <c r="H69" s="50"/>
      <c r="J69" s="109" t="s">
        <v>15</v>
      </c>
      <c r="K69" s="111">
        <f>ROUND(SUM(E68:K68),)</f>
        <v>267094</v>
      </c>
    </row>
    <row r="72" spans="1:11">
      <c r="A72" s="110"/>
      <c r="B72" s="46" t="s">
        <v>96</v>
      </c>
    </row>
    <row r="73" spans="1:11">
      <c r="B73" s="13"/>
    </row>
    <row r="74" spans="1:11">
      <c r="B74" s="14" t="s">
        <v>17</v>
      </c>
      <c r="C74" s="15" t="s">
        <v>18</v>
      </c>
      <c r="D74" s="15" t="s">
        <v>19</v>
      </c>
    </row>
    <row r="75" spans="1:11">
      <c r="B75" s="123" t="s">
        <v>60</v>
      </c>
      <c r="C75" s="124"/>
      <c r="D75" s="125"/>
    </row>
    <row r="76" spans="1:11">
      <c r="B76" s="16" t="s">
        <v>23</v>
      </c>
      <c r="C76" s="17">
        <f>ROUND(K69-F31,)</f>
        <v>262120</v>
      </c>
      <c r="D76" s="18"/>
      <c r="E76" t="s">
        <v>47</v>
      </c>
    </row>
    <row r="77" spans="1:11">
      <c r="B77" s="16" t="s">
        <v>22</v>
      </c>
      <c r="C77" s="18"/>
      <c r="D77" s="17">
        <f>C76</f>
        <v>262120</v>
      </c>
      <c r="E77" t="s">
        <v>48</v>
      </c>
    </row>
    <row r="78" spans="1:11">
      <c r="B78" s="123" t="s">
        <v>62</v>
      </c>
      <c r="C78" s="124"/>
      <c r="D78" s="125"/>
    </row>
    <row r="79" spans="1:11">
      <c r="B79" s="16" t="s">
        <v>49</v>
      </c>
      <c r="C79" s="92">
        <f>ROUND(E21,)</f>
        <v>59947</v>
      </c>
      <c r="D79" s="17"/>
      <c r="E79" t="s">
        <v>48</v>
      </c>
    </row>
    <row r="80" spans="1:11">
      <c r="B80" s="16" t="s">
        <v>61</v>
      </c>
      <c r="C80" s="18"/>
      <c r="D80" s="17">
        <f>C79</f>
        <v>59947</v>
      </c>
      <c r="E80" t="s">
        <v>47</v>
      </c>
    </row>
    <row r="81" spans="1:8">
      <c r="B81" s="14" t="s">
        <v>20</v>
      </c>
      <c r="C81" s="19">
        <f>SUM(C76:C80)</f>
        <v>322067</v>
      </c>
      <c r="D81" s="19">
        <f>SUM(D76:D80)</f>
        <v>322067</v>
      </c>
    </row>
    <row r="82" spans="1:8">
      <c r="D82" s="118" t="b">
        <f>D81=C81</f>
        <v>1</v>
      </c>
    </row>
    <row r="83" spans="1:8">
      <c r="A83" s="110"/>
      <c r="B83" s="46" t="s">
        <v>97</v>
      </c>
    </row>
    <row r="85" spans="1:8">
      <c r="B85" s="23" t="s">
        <v>24</v>
      </c>
      <c r="C85" s="24"/>
    </row>
    <row r="86" spans="1:8">
      <c r="B86" s="24" t="s">
        <v>49</v>
      </c>
      <c r="C86" s="25">
        <f>ROUND(F21-K69,)</f>
        <v>269992</v>
      </c>
    </row>
    <row r="88" spans="1:8">
      <c r="B88" s="23" t="s">
        <v>126</v>
      </c>
      <c r="C88" s="24"/>
    </row>
    <row r="89" spans="1:8">
      <c r="B89" s="47" t="s">
        <v>50</v>
      </c>
      <c r="C89" s="24"/>
    </row>
    <row r="90" spans="1:8" ht="30">
      <c r="B90" s="26" t="s">
        <v>26</v>
      </c>
      <c r="C90" s="22">
        <f>-C76</f>
        <v>-262120</v>
      </c>
    </row>
    <row r="91" spans="1:8">
      <c r="B91" s="26" t="s">
        <v>61</v>
      </c>
      <c r="C91" s="22">
        <f>D80</f>
        <v>59947</v>
      </c>
      <c r="D91" s="21" t="s">
        <v>124</v>
      </c>
    </row>
    <row r="94" spans="1:8">
      <c r="A94" s="110" t="s">
        <v>90</v>
      </c>
      <c r="B94" s="35" t="s">
        <v>98</v>
      </c>
    </row>
    <row r="96" spans="1:8">
      <c r="B96" s="127" t="s">
        <v>58</v>
      </c>
      <c r="C96" s="126" t="s">
        <v>125</v>
      </c>
      <c r="D96" s="126"/>
      <c r="E96" s="126"/>
      <c r="F96" s="126" t="s">
        <v>63</v>
      </c>
      <c r="G96" s="126"/>
      <c r="H96" s="126"/>
    </row>
    <row r="97" spans="1:8">
      <c r="B97" s="128"/>
      <c r="C97" s="126"/>
      <c r="D97" s="126"/>
      <c r="E97" s="126"/>
      <c r="F97" s="126"/>
      <c r="G97" s="126"/>
      <c r="H97" s="126"/>
    </row>
    <row r="98" spans="1:8" ht="38.25">
      <c r="B98" s="128"/>
      <c r="C98" s="57" t="s">
        <v>27</v>
      </c>
      <c r="D98" s="58" t="s">
        <v>54</v>
      </c>
      <c r="E98" s="58" t="s">
        <v>53</v>
      </c>
      <c r="F98" s="64" t="s">
        <v>27</v>
      </c>
      <c r="G98" s="65" t="s">
        <v>54</v>
      </c>
      <c r="H98" s="65" t="s">
        <v>53</v>
      </c>
    </row>
    <row r="99" spans="1:8">
      <c r="B99" s="83" t="s">
        <v>51</v>
      </c>
      <c r="C99" s="59">
        <v>150000</v>
      </c>
      <c r="D99" s="60">
        <f>1/(1+$C$63)^1</f>
        <v>0.92838574158374254</v>
      </c>
      <c r="E99" s="105">
        <f>C99*D99</f>
        <v>139257.86123756139</v>
      </c>
      <c r="F99" s="106">
        <v>0</v>
      </c>
      <c r="G99" s="67">
        <f>D99</f>
        <v>0.92838574158374254</v>
      </c>
      <c r="H99" s="106">
        <f>F99*G99</f>
        <v>0</v>
      </c>
    </row>
    <row r="100" spans="1:8">
      <c r="B100" s="83" t="s">
        <v>52</v>
      </c>
      <c r="C100" s="105">
        <v>0</v>
      </c>
      <c r="D100" s="60">
        <f>1/(1+$C$63)^2</f>
        <v>0.86190008517599559</v>
      </c>
      <c r="E100" s="105">
        <f>C100*D100</f>
        <v>0</v>
      </c>
      <c r="F100" s="106">
        <v>0</v>
      </c>
      <c r="G100" s="67">
        <f>D100</f>
        <v>0.86190008517599559</v>
      </c>
      <c r="H100" s="106">
        <f>F100*G100</f>
        <v>0</v>
      </c>
    </row>
    <row r="101" spans="1:8">
      <c r="B101" s="78" t="s">
        <v>15</v>
      </c>
      <c r="C101" s="61">
        <f>F16</f>
        <v>7.7138472952083495E-2</v>
      </c>
      <c r="D101" s="62"/>
      <c r="E101" s="63">
        <f>SUM(E99:E100)</f>
        <v>139257.86123756139</v>
      </c>
      <c r="F101" s="68">
        <f>C101</f>
        <v>7.7138472952083495E-2</v>
      </c>
      <c r="G101" s="69"/>
      <c r="H101" s="107">
        <f>SUM(H99:H100)</f>
        <v>0</v>
      </c>
    </row>
    <row r="102" spans="1:8">
      <c r="B102" s="53"/>
      <c r="C102" s="52"/>
      <c r="D102" s="1"/>
    </row>
    <row r="103" spans="1:8">
      <c r="B103" s="104" t="s">
        <v>67</v>
      </c>
      <c r="C103" s="79"/>
      <c r="D103" s="80"/>
      <c r="E103" s="84">
        <f>F22+C22</f>
        <v>578515.72247512254</v>
      </c>
      <c r="F103" s="85"/>
      <c r="G103" s="85"/>
      <c r="H103" s="84">
        <f>E103</f>
        <v>578515.72247512254</v>
      </c>
    </row>
    <row r="104" spans="1:8">
      <c r="B104" s="49" t="s">
        <v>42</v>
      </c>
      <c r="C104" s="81"/>
      <c r="D104" s="49"/>
      <c r="E104" s="86">
        <f>E103-E101</f>
        <v>439257.86123756116</v>
      </c>
      <c r="F104" s="87"/>
      <c r="G104" s="88"/>
      <c r="H104" s="86">
        <f>H103-H101</f>
        <v>578515.72247512254</v>
      </c>
    </row>
    <row r="105" spans="1:8">
      <c r="B105" s="82" t="s">
        <v>57</v>
      </c>
      <c r="C105" s="80"/>
      <c r="D105" s="80"/>
      <c r="E105" s="89">
        <v>0.4</v>
      </c>
      <c r="F105" s="90"/>
      <c r="G105" s="85"/>
      <c r="H105" s="89">
        <v>0.6</v>
      </c>
    </row>
    <row r="106" spans="1:8">
      <c r="B106" s="49" t="s">
        <v>118</v>
      </c>
      <c r="D106" s="55"/>
      <c r="E106" s="86">
        <f>E105*E104</f>
        <v>175703.14449502446</v>
      </c>
      <c r="F106" s="87"/>
      <c r="G106" s="91"/>
      <c r="H106" s="86">
        <f>H105*H104</f>
        <v>347109.4334850735</v>
      </c>
    </row>
    <row r="107" spans="1:8">
      <c r="G107" s="109" t="s">
        <v>15</v>
      </c>
      <c r="H107" s="111">
        <f>ROUND(SUM(E106:H106),)</f>
        <v>522813</v>
      </c>
    </row>
    <row r="108" spans="1:8">
      <c r="G108" s="21"/>
      <c r="H108" s="94"/>
    </row>
    <row r="109" spans="1:8">
      <c r="G109" s="21"/>
      <c r="H109" s="94"/>
    </row>
    <row r="110" spans="1:8">
      <c r="A110" s="110"/>
      <c r="B110" s="35" t="s">
        <v>99</v>
      </c>
      <c r="G110" s="21"/>
      <c r="H110" s="94"/>
    </row>
    <row r="111" spans="1:8">
      <c r="B111" s="108"/>
      <c r="C111" s="102"/>
      <c r="G111" s="21"/>
      <c r="H111" s="94"/>
    </row>
    <row r="112" spans="1:8" ht="39">
      <c r="B112" s="97" t="s">
        <v>64</v>
      </c>
      <c r="C112" s="95">
        <f>ROUND(E103,)</f>
        <v>578516</v>
      </c>
      <c r="G112" s="21"/>
      <c r="H112" s="94"/>
    </row>
    <row r="113" spans="1:8" ht="28.5" customHeight="1">
      <c r="B113" s="98" t="s">
        <v>22</v>
      </c>
      <c r="C113" s="95">
        <f>-H107</f>
        <v>-522813</v>
      </c>
      <c r="G113" s="21"/>
      <c r="H113" s="94"/>
    </row>
    <row r="114" spans="1:8">
      <c r="B114" s="98" t="s">
        <v>65</v>
      </c>
      <c r="C114" s="96">
        <f>SUM(C112:C113)</f>
        <v>55703</v>
      </c>
      <c r="G114" s="21"/>
      <c r="H114" s="94"/>
    </row>
    <row r="115" spans="1:8">
      <c r="B115" s="98" t="s">
        <v>68</v>
      </c>
      <c r="C115" s="99">
        <f>ROUND(F16,4)</f>
        <v>7.7100000000000002E-2</v>
      </c>
      <c r="G115" s="21"/>
      <c r="H115" s="94"/>
    </row>
    <row r="116" spans="1:8" ht="15.75" thickBot="1">
      <c r="B116" s="100" t="s">
        <v>66</v>
      </c>
      <c r="C116" s="101">
        <f>ROUND(C114*C115,)</f>
        <v>4295</v>
      </c>
      <c r="G116" s="21"/>
      <c r="H116" s="94"/>
    </row>
    <row r="117" spans="1:8" ht="15.75" thickTop="1">
      <c r="G117" s="21"/>
      <c r="H117" s="94"/>
    </row>
    <row r="118" spans="1:8">
      <c r="A118" s="110"/>
      <c r="B118" s="46" t="s">
        <v>100</v>
      </c>
    </row>
    <row r="119" spans="1:8">
      <c r="B119" s="13"/>
    </row>
    <row r="120" spans="1:8">
      <c r="B120" s="14" t="s">
        <v>17</v>
      </c>
      <c r="C120" s="15" t="s">
        <v>18</v>
      </c>
      <c r="D120" s="15" t="s">
        <v>19</v>
      </c>
    </row>
    <row r="121" spans="1:8">
      <c r="B121" s="123" t="s">
        <v>60</v>
      </c>
      <c r="C121" s="124"/>
      <c r="D121" s="125"/>
    </row>
    <row r="122" spans="1:8">
      <c r="B122" s="16" t="s">
        <v>23</v>
      </c>
      <c r="C122" s="17">
        <f>H107-K69</f>
        <v>255719</v>
      </c>
      <c r="D122" s="18"/>
      <c r="E122" t="s">
        <v>47</v>
      </c>
    </row>
    <row r="123" spans="1:8">
      <c r="B123" s="16" t="s">
        <v>22</v>
      </c>
      <c r="C123" s="18"/>
      <c r="D123" s="17">
        <f>C122</f>
        <v>255719</v>
      </c>
      <c r="E123" t="s">
        <v>48</v>
      </c>
      <c r="G123" s="103"/>
    </row>
    <row r="124" spans="1:8">
      <c r="B124" s="123" t="s">
        <v>62</v>
      </c>
      <c r="C124" s="124"/>
      <c r="D124" s="125"/>
    </row>
    <row r="125" spans="1:8">
      <c r="B125" s="16" t="s">
        <v>49</v>
      </c>
      <c r="C125" s="92">
        <f>C116</f>
        <v>4295</v>
      </c>
      <c r="D125" s="17"/>
      <c r="E125" t="s">
        <v>48</v>
      </c>
    </row>
    <row r="126" spans="1:8">
      <c r="B126" s="16" t="s">
        <v>61</v>
      </c>
      <c r="C126" s="18"/>
      <c r="D126" s="17">
        <f>C125</f>
        <v>4295</v>
      </c>
      <c r="E126" t="s">
        <v>47</v>
      </c>
    </row>
    <row r="127" spans="1:8">
      <c r="B127" s="14" t="s">
        <v>20</v>
      </c>
      <c r="C127" s="19">
        <f>SUM(C122:C126)</f>
        <v>260014</v>
      </c>
      <c r="D127" s="19">
        <f>SUM(D122:D126)</f>
        <v>260014</v>
      </c>
    </row>
    <row r="128" spans="1:8">
      <c r="D128" s="118" t="b">
        <f>D127=C127</f>
        <v>1</v>
      </c>
    </row>
    <row r="129" spans="1:4">
      <c r="A129" s="110"/>
      <c r="B129" s="46" t="s">
        <v>101</v>
      </c>
    </row>
    <row r="131" spans="1:4">
      <c r="B131" s="23" t="s">
        <v>24</v>
      </c>
      <c r="C131" s="24"/>
    </row>
    <row r="132" spans="1:4">
      <c r="B132" s="24" t="s">
        <v>49</v>
      </c>
      <c r="C132" s="25">
        <f>C86-D123+C125</f>
        <v>18568</v>
      </c>
      <c r="D132" s="93"/>
    </row>
    <row r="134" spans="1:4">
      <c r="B134" s="23" t="s">
        <v>126</v>
      </c>
      <c r="C134" s="24"/>
    </row>
    <row r="135" spans="1:4">
      <c r="B135" s="47" t="s">
        <v>50</v>
      </c>
      <c r="C135" s="24"/>
    </row>
    <row r="136" spans="1:4" ht="30">
      <c r="B136" s="26" t="s">
        <v>26</v>
      </c>
      <c r="C136" s="22">
        <f>-C122</f>
        <v>-255719</v>
      </c>
    </row>
    <row r="137" spans="1:4">
      <c r="B137" s="26" t="s">
        <v>61</v>
      </c>
      <c r="C137" s="22">
        <f>D126</f>
        <v>4295</v>
      </c>
      <c r="D137" s="21" t="s">
        <v>110</v>
      </c>
    </row>
  </sheetData>
  <mergeCells count="13">
    <mergeCell ref="B121:D121"/>
    <mergeCell ref="B124:D124"/>
    <mergeCell ref="I57:K58"/>
    <mergeCell ref="B36:D36"/>
    <mergeCell ref="B39:D39"/>
    <mergeCell ref="B96:B98"/>
    <mergeCell ref="C96:E97"/>
    <mergeCell ref="F96:H97"/>
    <mergeCell ref="B75:D75"/>
    <mergeCell ref="B78:D78"/>
    <mergeCell ref="B57:B59"/>
    <mergeCell ref="C57:E58"/>
    <mergeCell ref="F57:H58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J46"/>
  <sheetViews>
    <sheetView showGridLines="0" zoomScale="80" zoomScaleNormal="80" workbookViewId="0">
      <selection activeCell="B45" sqref="B45"/>
    </sheetView>
  </sheetViews>
  <sheetFormatPr defaultRowHeight="15"/>
  <cols>
    <col min="1" max="1" width="8" customWidth="1"/>
    <col min="2" max="2" width="39.140625" customWidth="1"/>
    <col min="3" max="3" width="28.28515625" customWidth="1"/>
    <col min="4" max="4" width="24.5703125" customWidth="1"/>
    <col min="5" max="5" width="20.140625" customWidth="1"/>
  </cols>
  <sheetData>
    <row r="2" spans="2:10">
      <c r="H2" s="11"/>
    </row>
    <row r="3" spans="2:10">
      <c r="H3" s="11"/>
    </row>
    <row r="4" spans="2:10">
      <c r="H4" s="11"/>
    </row>
    <row r="5" spans="2:10">
      <c r="H5" s="11"/>
    </row>
    <row r="10" spans="2:10">
      <c r="B10" s="13" t="s">
        <v>46</v>
      </c>
    </row>
    <row r="12" spans="2:10" ht="39">
      <c r="B12" s="2"/>
      <c r="C12" s="2" t="s">
        <v>119</v>
      </c>
      <c r="D12" s="2" t="s">
        <v>13</v>
      </c>
      <c r="E12" s="2" t="s">
        <v>16</v>
      </c>
    </row>
    <row r="13" spans="2:10">
      <c r="B13" s="3" t="s">
        <v>14</v>
      </c>
      <c r="C13" s="4">
        <v>10000000</v>
      </c>
      <c r="D13" s="6">
        <v>3.0000000000000001E-3</v>
      </c>
      <c r="E13" s="5">
        <f>C13*D13</f>
        <v>30000</v>
      </c>
    </row>
    <row r="14" spans="2:10">
      <c r="B14" s="3" t="s">
        <v>0</v>
      </c>
      <c r="C14" s="4">
        <v>3000000</v>
      </c>
      <c r="D14" s="6">
        <v>1.4999999999999999E-2</v>
      </c>
      <c r="E14" s="5">
        <f t="shared" ref="E14:E26" si="0">C14*D14</f>
        <v>45000</v>
      </c>
    </row>
    <row r="15" spans="2:10">
      <c r="B15" s="3" t="s">
        <v>1</v>
      </c>
      <c r="C15" s="4">
        <v>850000</v>
      </c>
      <c r="D15" s="6">
        <v>0.02</v>
      </c>
      <c r="E15" s="5">
        <f t="shared" si="0"/>
        <v>17000</v>
      </c>
      <c r="J15" s="13"/>
    </row>
    <row r="16" spans="2:10">
      <c r="B16" s="3" t="s">
        <v>2</v>
      </c>
      <c r="C16" s="4">
        <v>1500000</v>
      </c>
      <c r="D16" s="6">
        <v>0.05</v>
      </c>
      <c r="E16" s="5">
        <f t="shared" si="0"/>
        <v>75000</v>
      </c>
    </row>
    <row r="17" spans="1:5">
      <c r="B17" s="3" t="s">
        <v>3</v>
      </c>
      <c r="C17" s="4">
        <v>2000000</v>
      </c>
      <c r="D17" s="6">
        <v>8.3000000000000004E-2</v>
      </c>
      <c r="E17" s="5">
        <f t="shared" si="0"/>
        <v>166000</v>
      </c>
    </row>
    <row r="18" spans="1:5">
      <c r="B18" s="3" t="s">
        <v>4</v>
      </c>
      <c r="C18" s="4">
        <v>500000</v>
      </c>
      <c r="D18" s="6">
        <v>0.1</v>
      </c>
      <c r="E18" s="5">
        <f t="shared" si="0"/>
        <v>50000</v>
      </c>
    </row>
    <row r="19" spans="1:5">
      <c r="B19" s="3" t="s">
        <v>5</v>
      </c>
      <c r="C19" s="4">
        <v>370000</v>
      </c>
      <c r="D19" s="6">
        <v>0.15</v>
      </c>
      <c r="E19" s="5">
        <f t="shared" si="0"/>
        <v>55500</v>
      </c>
    </row>
    <row r="20" spans="1:5">
      <c r="B20" s="3" t="s">
        <v>6</v>
      </c>
      <c r="C20" s="4">
        <v>420000</v>
      </c>
      <c r="D20" s="6">
        <v>0.21</v>
      </c>
      <c r="E20" s="5">
        <f t="shared" si="0"/>
        <v>88200</v>
      </c>
    </row>
    <row r="21" spans="1:5">
      <c r="B21" s="3" t="s">
        <v>7</v>
      </c>
      <c r="C21" s="4">
        <v>150000</v>
      </c>
      <c r="D21" s="6">
        <v>0.25</v>
      </c>
      <c r="E21" s="5">
        <f t="shared" si="0"/>
        <v>37500</v>
      </c>
    </row>
    <row r="22" spans="1:5">
      <c r="B22" s="3" t="s">
        <v>8</v>
      </c>
      <c r="C22" s="4">
        <v>700000</v>
      </c>
      <c r="D22" s="6">
        <v>0.3</v>
      </c>
      <c r="E22" s="5">
        <f t="shared" si="0"/>
        <v>210000</v>
      </c>
    </row>
    <row r="23" spans="1:5">
      <c r="B23" s="3" t="s">
        <v>9</v>
      </c>
      <c r="C23" s="4">
        <v>50000</v>
      </c>
      <c r="D23" s="6">
        <v>0.5</v>
      </c>
      <c r="E23" s="5">
        <f t="shared" si="0"/>
        <v>25000</v>
      </c>
    </row>
    <row r="24" spans="1:5">
      <c r="B24" s="3" t="s">
        <v>10</v>
      </c>
      <c r="C24" s="4">
        <v>800000</v>
      </c>
      <c r="D24" s="6">
        <v>0.7</v>
      </c>
      <c r="E24" s="5">
        <f t="shared" si="0"/>
        <v>560000</v>
      </c>
    </row>
    <row r="25" spans="1:5">
      <c r="B25" s="3" t="s">
        <v>11</v>
      </c>
      <c r="C25" s="4">
        <v>630000</v>
      </c>
      <c r="D25" s="6">
        <v>0.9</v>
      </c>
      <c r="E25" s="5">
        <f t="shared" si="0"/>
        <v>567000</v>
      </c>
    </row>
    <row r="26" spans="1:5">
      <c r="B26" s="3" t="s">
        <v>12</v>
      </c>
      <c r="C26" s="4">
        <v>1000000</v>
      </c>
      <c r="D26" s="6">
        <v>1</v>
      </c>
      <c r="E26" s="5">
        <f t="shared" si="0"/>
        <v>1000000</v>
      </c>
    </row>
    <row r="27" spans="1:5" ht="15.75" thickBot="1">
      <c r="B27" s="7" t="s">
        <v>15</v>
      </c>
      <c r="C27" s="8">
        <f>SUM(C13:C26)</f>
        <v>21970000</v>
      </c>
      <c r="D27" s="9"/>
      <c r="E27" s="10">
        <f>SUM(E13:E26)</f>
        <v>2926200</v>
      </c>
    </row>
    <row r="28" spans="1:5" ht="15.75" thickTop="1"/>
    <row r="30" spans="1:5">
      <c r="A30" s="12"/>
      <c r="B30" s="13" t="s">
        <v>21</v>
      </c>
      <c r="C30" s="12"/>
      <c r="D30" s="12"/>
    </row>
    <row r="31" spans="1:5">
      <c r="A31" s="12"/>
      <c r="B31" s="12"/>
      <c r="C31" s="12"/>
      <c r="D31" s="12"/>
    </row>
    <row r="32" spans="1:5">
      <c r="B32" s="14" t="s">
        <v>17</v>
      </c>
      <c r="C32" s="15" t="s">
        <v>18</v>
      </c>
      <c r="D32" s="15" t="s">
        <v>19</v>
      </c>
    </row>
    <row r="33" spans="2:5">
      <c r="B33" s="16" t="s">
        <v>23</v>
      </c>
      <c r="C33" s="17">
        <f>E27</f>
        <v>2926200</v>
      </c>
      <c r="D33" s="18"/>
      <c r="E33" t="s">
        <v>47</v>
      </c>
    </row>
    <row r="34" spans="2:5" ht="29.25" customHeight="1">
      <c r="B34" s="16" t="s">
        <v>22</v>
      </c>
      <c r="C34" s="18"/>
      <c r="D34" s="17">
        <f>E27</f>
        <v>2926200</v>
      </c>
      <c r="E34" t="s">
        <v>48</v>
      </c>
    </row>
    <row r="35" spans="2:5">
      <c r="B35" s="14" t="s">
        <v>20</v>
      </c>
      <c r="C35" s="19">
        <f>SUM(C33:C34)</f>
        <v>2926200</v>
      </c>
      <c r="D35" s="19">
        <f>SUM(D33:D34)</f>
        <v>2926200</v>
      </c>
    </row>
    <row r="36" spans="2:5">
      <c r="B36" s="12"/>
      <c r="C36" s="20"/>
      <c r="D36" s="20" t="b">
        <f>C35=D35</f>
        <v>1</v>
      </c>
    </row>
    <row r="37" spans="2:5">
      <c r="B37" s="21"/>
    </row>
    <row r="38" spans="2:5">
      <c r="B38" s="13" t="s">
        <v>45</v>
      </c>
    </row>
    <row r="40" spans="2:5">
      <c r="B40" s="23" t="s">
        <v>24</v>
      </c>
      <c r="C40" s="24"/>
    </row>
    <row r="41" spans="2:5">
      <c r="B41" s="47" t="s">
        <v>74</v>
      </c>
      <c r="C41" s="24"/>
    </row>
    <row r="42" spans="2:5">
      <c r="B42" s="24" t="s">
        <v>25</v>
      </c>
      <c r="C42" s="25">
        <f>C27-E27</f>
        <v>19043800</v>
      </c>
    </row>
    <row r="44" spans="2:5">
      <c r="B44" s="23" t="s">
        <v>126</v>
      </c>
      <c r="C44" s="24"/>
    </row>
    <row r="45" spans="2:5">
      <c r="B45" s="47" t="s">
        <v>50</v>
      </c>
      <c r="C45" s="24"/>
    </row>
    <row r="46" spans="2:5" ht="30">
      <c r="B46" s="26" t="s">
        <v>26</v>
      </c>
      <c r="C46" s="22">
        <f>-E27</f>
        <v>-2926200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Пример 1</vt:lpstr>
      <vt:lpstr>Пример 2</vt:lpstr>
      <vt:lpstr>Пример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2023-02-02T13:32:31Z</dcterms:modified>
</cp:coreProperties>
</file>